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wolfg\Documents\Claude\whiteboard-animator\out\einnahmen-ausgaben\"/>
    </mc:Choice>
  </mc:AlternateContent>
  <xr:revisionPtr revIDLastSave="0" documentId="8_{A75ED3E4-04D7-4383-8357-97F56A798390}" xr6:coauthVersionLast="47" xr6:coauthVersionMax="47" xr10:uidLastSave="{00000000-0000-0000-0000-000000000000}"/>
  <bookViews>
    <workbookView xWindow="-120" yWindow="-120" windowWidth="29040" windowHeight="15720" xr2:uid="{489FE325-AEEA-41B9-A06F-3F483631435C}"/>
  </bookViews>
  <sheets>
    <sheet name="Anleitung" sheetId="1" r:id="rId1"/>
    <sheet name="Journal" sheetId="2" r:id="rId2"/>
    <sheet name="Anlagen" sheetId="3" r:id="rId3"/>
    <sheet name="E1a-Übersicht" sheetId="4" r:id="rId4"/>
    <sheet name="Auswertung" sheetId="5" r:id="rId5"/>
    <sheet name="Kategorien" sheetId="6" r:id="rId6"/>
  </sheets>
  <definedNames>
    <definedName name="AfA_Summe">Anlagen!$G$10</definedName>
    <definedName name="_xlnm.Print_Area" localSheetId="2">Anlagen!$A$1:$H$10</definedName>
    <definedName name="_xlnm.Print_Area" localSheetId="0">Anleitung!$A$1:$D$25</definedName>
    <definedName name="_xlnm.Print_Area" localSheetId="4">Auswertung!$A$1:$J$74</definedName>
    <definedName name="_xlnm.Print_Area" localSheetId="3">'E1a-Übersicht'!$A$1:$C$38</definedName>
    <definedName name="_xlnm.Print_Area" localSheetId="5">Kategorien!$A$1:$D$34</definedName>
    <definedName name="_xlnm.Print_Titles" localSheetId="1">Journal!$4:$4</definedName>
    <definedName name="_xlnm.Print_Titles" localSheetId="5">Kategorien!$4:$4</definedName>
    <definedName name="E1a_Gewinn">'E1a-Übersicht'!$C$33</definedName>
    <definedName name="GFB_Grenze">Anleitung!$B$9</definedName>
    <definedName name="GFB_Satz">Anleitung!$B$10</definedName>
    <definedName name="GWG_Grenze">Anleitung!$B$8</definedName>
    <definedName name="KatArt">tblKat[Art]</definedName>
    <definedName name="KatKZ">tblKat[Kennzahl E1a]</definedName>
    <definedName name="KatName">tblKat[Kategorie]</definedName>
    <definedName name="KU_Grenze">Anleitung!$B$11</definedName>
    <definedName name="Steuerjahr">Anleitung!$B$7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5" l="1"/>
  <c r="J29" i="5"/>
  <c r="J28" i="5"/>
  <c r="J27" i="5"/>
  <c r="J26" i="5"/>
  <c r="J24" i="5"/>
  <c r="J22" i="5"/>
  <c r="J20" i="5"/>
  <c r="J19" i="5"/>
  <c r="J18" i="5"/>
  <c r="J16" i="5"/>
  <c r="J15" i="5"/>
  <c r="J14" i="5"/>
  <c r="J13" i="5"/>
  <c r="J12" i="5"/>
  <c r="J11" i="5"/>
  <c r="J10" i="5"/>
  <c r="J9" i="5"/>
  <c r="J8" i="5"/>
  <c r="G26" i="5"/>
  <c r="G25" i="5"/>
  <c r="G24" i="5"/>
  <c r="G23" i="5"/>
  <c r="G19" i="5"/>
  <c r="G18" i="5"/>
  <c r="G17" i="5"/>
  <c r="G16" i="5"/>
  <c r="G15" i="5"/>
  <c r="G14" i="5"/>
  <c r="G13" i="5"/>
  <c r="G12" i="5"/>
  <c r="G11" i="5"/>
  <c r="G10" i="5"/>
  <c r="G9" i="5"/>
  <c r="G8" i="5"/>
  <c r="A4" i="4"/>
  <c r="G6" i="3"/>
  <c r="F5" i="3"/>
  <c r="F6" i="3"/>
  <c r="H6" i="3" s="1"/>
  <c r="E5" i="3"/>
  <c r="E6" i="3"/>
  <c r="H5" i="2"/>
  <c r="H6" i="2"/>
  <c r="J23" i="5" s="1"/>
  <c r="H7" i="2"/>
  <c r="J21" i="5" s="1"/>
  <c r="H8" i="2"/>
  <c r="H9" i="2"/>
  <c r="H10" i="2"/>
  <c r="H11" i="2"/>
  <c r="H12" i="2"/>
  <c r="H13" i="2"/>
  <c r="H14" i="2"/>
  <c r="J25" i="5" s="1"/>
  <c r="H15" i="2"/>
  <c r="H16" i="2"/>
  <c r="J17" i="5" s="1"/>
  <c r="G5" i="2"/>
  <c r="G6" i="2"/>
  <c r="G7" i="2"/>
  <c r="C8" i="4" s="1"/>
  <c r="G8" i="2"/>
  <c r="G9" i="2"/>
  <c r="G10" i="2"/>
  <c r="G11" i="2"/>
  <c r="G12" i="2"/>
  <c r="G13" i="2"/>
  <c r="G14" i="2"/>
  <c r="G15" i="2"/>
  <c r="G16" i="2"/>
  <c r="F5" i="2"/>
  <c r="F6" i="2"/>
  <c r="F7" i="2"/>
  <c r="B9" i="5" s="1"/>
  <c r="F8" i="2"/>
  <c r="F9" i="2"/>
  <c r="F10" i="2"/>
  <c r="F11" i="2"/>
  <c r="F12" i="2"/>
  <c r="F13" i="2"/>
  <c r="F14" i="2"/>
  <c r="F15" i="2"/>
  <c r="F16" i="2"/>
  <c r="C17" i="5" l="1"/>
  <c r="C9" i="4"/>
  <c r="C12" i="4" s="1"/>
  <c r="B14" i="5"/>
  <c r="C20" i="4"/>
  <c r="H5" i="3"/>
  <c r="C21" i="4"/>
  <c r="B11" i="5"/>
  <c r="B13" i="5"/>
  <c r="D13" i="5" s="1"/>
  <c r="B17" i="5"/>
  <c r="B15" i="5"/>
  <c r="D15" i="5" s="1"/>
  <c r="B19" i="5"/>
  <c r="C22" i="4"/>
  <c r="C9" i="5"/>
  <c r="D9" i="5" s="1"/>
  <c r="C11" i="5"/>
  <c r="C13" i="5"/>
  <c r="C15" i="5"/>
  <c r="C19" i="5"/>
  <c r="C23" i="4"/>
  <c r="C10" i="4"/>
  <c r="C25" i="4"/>
  <c r="G5" i="5"/>
  <c r="C15" i="4"/>
  <c r="C31" i="4" s="1"/>
  <c r="C5" i="5" s="1"/>
  <c r="C27" i="4"/>
  <c r="B8" i="5"/>
  <c r="B10" i="5"/>
  <c r="B12" i="5"/>
  <c r="B16" i="5"/>
  <c r="B18" i="5"/>
  <c r="D18" i="5" s="1"/>
  <c r="C16" i="4"/>
  <c r="C28" i="4"/>
  <c r="C8" i="5"/>
  <c r="C10" i="5"/>
  <c r="C12" i="5"/>
  <c r="C16" i="5"/>
  <c r="C18" i="5"/>
  <c r="G5" i="3"/>
  <c r="G10" i="3" s="1"/>
  <c r="J31" i="5" s="1"/>
  <c r="C17" i="4"/>
  <c r="C29" i="4"/>
  <c r="C18" i="4"/>
  <c r="C30" i="4"/>
  <c r="C24" i="4"/>
  <c r="C11" i="4"/>
  <c r="C26" i="4"/>
  <c r="C14" i="5"/>
  <c r="C19" i="4"/>
  <c r="C33" i="4" l="1"/>
  <c r="A5" i="5"/>
  <c r="D16" i="5"/>
  <c r="D12" i="5"/>
  <c r="C24" i="5"/>
  <c r="B26" i="5"/>
  <c r="D17" i="5"/>
  <c r="B25" i="5"/>
  <c r="D25" i="5" s="1"/>
  <c r="D14" i="5"/>
  <c r="C26" i="5"/>
  <c r="C25" i="5"/>
  <c r="C23" i="5"/>
  <c r="C27" i="5" s="1"/>
  <c r="C20" i="5"/>
  <c r="D10" i="5"/>
  <c r="B20" i="5"/>
  <c r="F18" i="5"/>
  <c r="F16" i="5"/>
  <c r="F25" i="5" s="1"/>
  <c r="F14" i="5"/>
  <c r="F12" i="5"/>
  <c r="F10" i="5"/>
  <c r="F23" i="5" s="1"/>
  <c r="F8" i="5"/>
  <c r="F11" i="5"/>
  <c r="B23" i="5"/>
  <c r="D8" i="5"/>
  <c r="F19" i="5"/>
  <c r="F26" i="5" s="1"/>
  <c r="F17" i="5"/>
  <c r="F15" i="5"/>
  <c r="F13" i="5"/>
  <c r="F24" i="5" s="1"/>
  <c r="F9" i="5"/>
  <c r="B24" i="5"/>
  <c r="D24" i="5" s="1"/>
  <c r="D11" i="5"/>
  <c r="D19" i="5"/>
  <c r="E5" i="5" l="1"/>
  <c r="C35" i="4"/>
  <c r="C36" i="4" s="1"/>
  <c r="D23" i="5"/>
  <c r="B27" i="5"/>
  <c r="D26" i="5"/>
  <c r="E13" i="5"/>
  <c r="E24" i="5" s="1"/>
  <c r="E18" i="5"/>
  <c r="E16" i="5"/>
  <c r="E25" i="5" s="1"/>
  <c r="E14" i="5"/>
  <c r="E12" i="5"/>
  <c r="E10" i="5"/>
  <c r="E23" i="5" s="1"/>
  <c r="E8" i="5"/>
  <c r="D20" i="5"/>
  <c r="E19" i="5"/>
  <c r="E26" i="5" s="1"/>
  <c r="E17" i="5"/>
  <c r="E15" i="5"/>
  <c r="E11" i="5"/>
  <c r="E9" i="5"/>
  <c r="D27" i="5" l="1"/>
</calcChain>
</file>

<file path=xl/sharedStrings.xml><?xml version="1.0" encoding="utf-8"?>
<sst xmlns="http://schemas.openxmlformats.org/spreadsheetml/2006/main" count="281" uniqueCount="202">
  <si>
    <t>Kategorien und Kennzahlen der Beilage E1a</t>
  </si>
  <si>
    <t>Jede Kategorie ist einer Kennzahl im Formular E1a zugeordnet. Eigene Kategorien unten in der Tabelle ergänzen (Art und Kennzahl angeben).</t>
  </si>
  <si>
    <t>Kategorie</t>
  </si>
  <si>
    <t>Art</t>
  </si>
  <si>
    <t>Kennzahl E1a</t>
  </si>
  <si>
    <t>Was dazugehört</t>
  </si>
  <si>
    <t>Erlöse aus Verkauf und Leistungen</t>
  </si>
  <si>
    <t>Einnahme</t>
  </si>
  <si>
    <t>Rechnungen an Kunden, Barverkäufe, Eigenverbrauch</t>
  </si>
  <si>
    <t>Erlöse mit Mitteilung nach § 109a</t>
  </si>
  <si>
    <t>Honorare, die der Auftraggeber dem Finanzamt meldet (Mitteilung nach § 109a)</t>
  </si>
  <si>
    <t>Verkauf von Anlagegütern</t>
  </si>
  <si>
    <t>Verkauf oder Entnahme eines Anlageguts, z. B. des alten Firmenlaptops</t>
  </si>
  <si>
    <t>Übrige Einnahmen</t>
  </si>
  <si>
    <t>Betriebliche Zinsen, Förderungen, Schadenersatz</t>
  </si>
  <si>
    <t>Waren, Material</t>
  </si>
  <si>
    <t>Ausgabe</t>
  </si>
  <si>
    <t>Wareneinkauf, Rohstoffe, Material für Aufträge</t>
  </si>
  <si>
    <t>Fremdleistungen</t>
  </si>
  <si>
    <t>Subunternehmer, Freelancer, zugekaufte Leistungen</t>
  </si>
  <si>
    <t>Personal</t>
  </si>
  <si>
    <t>Löhne, Gehälter, Lohnnebenkosten für eigene Mitarbeiter</t>
  </si>
  <si>
    <t>Reise- und Fahrtkosten</t>
  </si>
  <si>
    <t>Kilometergeld, Diäten, Bahn, Flug, Hotel (ohne tatsächliche Kfz-Kosten)</t>
  </si>
  <si>
    <t>Öffi-Karte (50 % eintragen)</t>
  </si>
  <si>
    <t>Die Hälfte der Wochen-, Monats- oder Jahreskarte</t>
  </si>
  <si>
    <t>Kfz-Kosten</t>
  </si>
  <si>
    <t>Treibstoff, Service, Reparatur, Vignette, Parken (nur betrieblicher Anteil)</t>
  </si>
  <si>
    <t>Miete, Pacht, Leasing</t>
  </si>
  <si>
    <t>Büro- oder Geschäftsmiete, Leasingraten</t>
  </si>
  <si>
    <t>Provisionen, Lizenzgebühren</t>
  </si>
  <si>
    <t>Vermittlungsprovisionen, Lizenzen für Bilder, Musik oder Marken</t>
  </si>
  <si>
    <t>Werbung</t>
  </si>
  <si>
    <t>Inserate, Online-Werbung, Visitenkarten, Werbeartikel</t>
  </si>
  <si>
    <t>Arbeitsplatzpauschale klein</t>
  </si>
  <si>
    <t>300 € für ein volles Jahr; nicht zusammen mit dem großen Pauschale</t>
  </si>
  <si>
    <t>Arbeitsplatzpauschale groß</t>
  </si>
  <si>
    <t>1.200 € für ein volles Jahr; nicht zusammen mit dem kleinen Pauschale</t>
  </si>
  <si>
    <t>Ergonomisches Mobiliar</t>
  </si>
  <si>
    <t>Schreibtisch, Drehstuhl, Schreibtischlampe, bis höchstens 300 €</t>
  </si>
  <si>
    <t>Zinsen</t>
  </si>
  <si>
    <t>Zinsen für betriebliche Kredite</t>
  </si>
  <si>
    <t>Sozialversicherung (SVS)</t>
  </si>
  <si>
    <t>Eigene Pflichtversicherung und Selbständigenvorsorge</t>
  </si>
  <si>
    <t>Telefon und Internet</t>
  </si>
  <si>
    <t>Handy, Festnetz, Internet (betrieblicher Anteil)</t>
  </si>
  <si>
    <t>Software und Online-Dienste</t>
  </si>
  <si>
    <t>Programme, Cloud-Speicher, Website, Domain</t>
  </si>
  <si>
    <t>Büromaterial und Porto</t>
  </si>
  <si>
    <t>Papier, Druckerpatronen, Porto, Versand</t>
  </si>
  <si>
    <t>Fachliteratur und Weiterbildung</t>
  </si>
  <si>
    <t>Bücher, Kurse, Seminare zum Beruf</t>
  </si>
  <si>
    <t>Beratung</t>
  </si>
  <si>
    <t>Steuerberatung, Rechtsberatung, Buchhaltung</t>
  </si>
  <si>
    <t>Bankspesen</t>
  </si>
  <si>
    <t>Kontoführung, Kartengebühren, Zahlungsanbieter</t>
  </si>
  <si>
    <t>Betriebliche Versicherungen</t>
  </si>
  <si>
    <t>Versicherungen des Betriebs</t>
  </si>
  <si>
    <t>Mitgliedsbeiträge und Gebühren</t>
  </si>
  <si>
    <t>Kammerumlage, Berufsverbände, Behördengebühren</t>
  </si>
  <si>
    <t>Sonstige Ausgaben</t>
  </si>
  <si>
    <t>Alles, was in keine andere Kategorie passt</t>
  </si>
  <si>
    <t>Anschaffungen wie Laptop, Kamera oder Möbel nicht im Journal, sondern im Blatt „Anlagen“ erfassen. Die Abschreibung kommt von dort automatisch in Kennzahl 9130.</t>
  </si>
  <si>
    <t>Kennzahlen laut Formular E1a 2025 (Version vom 24.10.2025, bmf.gv.at). Seltene Kennzahlen (z. B. Spenden, Arbeitszimmer, Investitionsfreibetrag) sind nicht enthalten.</t>
  </si>
  <si>
    <t>Einnahmen-Ausgaben-Rechnung für Kleinunternehmer</t>
  </si>
  <si>
    <t>Vorlage von finanzgeier.at für Einzelunternehmer in Österreich, die die Kleinunternehmerregelung nutzen (ohne Umsatzsteuer)</t>
  </si>
  <si>
    <t>Einstellungen</t>
  </si>
  <si>
    <t>Die gelben Felder darfst du ändern. Die Datei rechnet dann überall automatisch mit dem neuen Wert. Die Grenzwerte gelten für das Steuerjahr 2026; ändert der Gesetzgeber einen davon, trägst du hier den neuen Wert ein.</t>
  </si>
  <si>
    <t>Einstellung</t>
  </si>
  <si>
    <t>Wert</t>
  </si>
  <si>
    <t>Darf ich das ändern?</t>
  </si>
  <si>
    <t>Was passiert dann?</t>
  </si>
  <si>
    <t>Steuerjahr</t>
  </si>
  <si>
    <t>Ja, für jedes neue Jahr.</t>
  </si>
  <si>
    <t>Nur Zahlungen mit einem Datum in diesem Jahr kommen in die E1a-Übersicht und die Auswertung. Die Abschreibung im Blatt „Anlagen“ wird für dieses Jahr berechnet. Tipp: Für jedes Jahr eine eigene Kopie der Datei anlegen.</t>
  </si>
  <si>
    <t>Grenze geringwertige Wirtschaftsgüter</t>
  </si>
  <si>
    <t>Nur wenn sich das Gesetz ändert.</t>
  </si>
  <si>
    <t>Anschaffungen bis zu diesem Betrag setzt die Vorlage sofort als Ausgabe ab, teurere verteilt sie über die Nutzungsdauer (Blatt „Anlagen“).</t>
  </si>
  <si>
    <t>Grundfreibetrag: Gewinn bis</t>
  </si>
  <si>
    <t>Der Grundfreibetrag in der E1a-Übersicht wird höchstens von diesem Gewinn berechnet.</t>
  </si>
  <si>
    <t>Grundfreibetrag: Prozentsatz</t>
  </si>
  <si>
    <t>Prozentsatz, mit dem die Vorlage den Grundfreibetrag berechnet (2026: 15 %, also höchstens 4.950 €).</t>
  </si>
  <si>
    <t>Kleinunternehmergrenze</t>
  </si>
  <si>
    <t>Wird nur in der Auswertung als Grenzlinie und Prozentwert angezeigt. Auf den Gewinn hat sie keine Auswirkung.</t>
  </si>
  <si>
    <t>So verwendest du die Vorlage</t>
  </si>
  <si>
    <t>1. Oben das Steuerjahr einstellen. Die anderen gelben Felder nur ändern, wenn sich ein gesetzlicher Wert ändert.</t>
  </si>
  <si>
    <t>2. Im Blatt „Journal“ jede Zahlung in eine neue Zeile eintragen: Datum der Zahlung, Beleg-Nr., Beschreibung, Kategorie aus der Auswahlliste und den Betrag. Art, Kennzahl und Monat rechnet die Vorlage selbst.</t>
  </si>
  <si>
    <t>3. Beträge so eintragen, wie sie tatsächlich bezahlt wurden, also bei Ausgaben inklusive der Umsatzsteuer auf der Rechnung des Lieferanten. Als Kleinunternehmer kannst du sie dir nicht zurückholen.</t>
  </si>
  <si>
    <t>4. Es zählt das Datum, an dem das Geld geflossen ist, nicht das Rechnungsdatum (Zufluss-Abfluss-Prinzip). Ein Datum aus einem anderen Jahr wird rot angezeigt.</t>
  </si>
  <si>
    <t>5. Anschaffungen wie Laptop, Kamera oder Möbel ins Blatt „Anlagen“ eintragen. Die Vorlage berechnet die Abschreibung samt Halbjahresregel und übernimmt sie in Kennzahl 9130.</t>
  </si>
  <si>
    <t>6. Am Jahresende die Beträge aus dem Blatt „E1a-Übersicht“ in die gleichnamigen Kennzahlen der Beilage E1a in FinanzOnline übertragen.</t>
  </si>
  <si>
    <t>7. Das Blatt „Auswertung“ zeigt Einnahmen, Ausgaben und Gewinn pro Monat und den Abstand zur Kleinunternehmergrenze. Die Diagramme aktualisieren sich automatisch und passen beim Drucken auf zwei A4-Seiten.</t>
  </si>
  <si>
    <t>8. Die Zeilen mit „Beispiel“ in der Beschreibung zeigen, wie die Einträge aussehen. Vor dem Start löschen: Zeilen markieren, Rechtsklick, Löschen, Tabellenzeilen.</t>
  </si>
  <si>
    <t>Ausfüllen: die gelben Felder oben und in den Blättern „Journal“ und „Anlagen“ die Spalten mit oranger Überschrift. Spalten mit grauer Überschrift und alle übrigen Felder rechnet die Vorlage selbst; bitte nicht überschreiben.</t>
  </si>
  <si>
    <t>Hinweis</t>
  </si>
  <si>
    <t>Diese Vorlage hilft beim Aufzeichnen und gibt nur einen Überblick. Sie ist für Kleinunternehmer ohne Umsatzsteuer gedacht, ersetzt keine Steuerberatung und wird ohne Gewähr angeboten. Für deinen eigenen Fall hol dir fachliche Hilfe, zum Beispiel beim Finanzamt, bei einer Steuerberatung oder bei der Wirtschaftskammer. Kennzahlen laut Formular E1a 2025, Grenzwerte mit Stand 2026. Mehr dazu: www.finanzgeier.at/steuern/</t>
  </si>
  <si>
    <t>Journal: alle Einnahmen und Ausgaben</t>
  </si>
  <si>
    <t>Orange Spalten ausfüllen, die grauen rechnet die Vorlage. Neue Zeile: einfach unter der letzten Zeile weiterschreiben, die Tabelle wächst mit.</t>
  </si>
  <si>
    <t>Datum der Zahlung</t>
  </si>
  <si>
    <t>Beleg-Nr.</t>
  </si>
  <si>
    <t>Beschreibung</t>
  </si>
  <si>
    <t>Betrag</t>
  </si>
  <si>
    <t>Kennzahl</t>
  </si>
  <si>
    <t>Monat</t>
  </si>
  <si>
    <t>R-001</t>
  </si>
  <si>
    <t>Beispiel: Webdesign für Kunde A</t>
  </si>
  <si>
    <t>E-001</t>
  </si>
  <si>
    <t>Beispiel: Software-Abo Jänner</t>
  </si>
  <si>
    <t>E-002</t>
  </si>
  <si>
    <t>Beispiel: SVS-Vorauszahlung 1. Quartal</t>
  </si>
  <si>
    <t>R-002</t>
  </si>
  <si>
    <t>Beispiel: Logo für Kunde B</t>
  </si>
  <si>
    <t>E-003</t>
  </si>
  <si>
    <t>Beispiel: Druck Visitenkarten</t>
  </si>
  <si>
    <t>E-004</t>
  </si>
  <si>
    <t>Beispiel: Handy und Internet 1. Quartal</t>
  </si>
  <si>
    <t>R-003</t>
  </si>
  <si>
    <t>Beispiel: Website-Wartung Kunde A</t>
  </si>
  <si>
    <t>E-005</t>
  </si>
  <si>
    <t>Beispiel: Fahrt zum Kunden, 120 km Kilometergeld</t>
  </si>
  <si>
    <t>R-004</t>
  </si>
  <si>
    <t>Beispiel: Onlineshop für Kunde C</t>
  </si>
  <si>
    <t>E-006</t>
  </si>
  <si>
    <t>Beispiel: Fachbuch Webentwicklung</t>
  </si>
  <si>
    <t>R-005</t>
  </si>
  <si>
    <t>Beispiel: Relaunch Kunde B</t>
  </si>
  <si>
    <t>E-007</t>
  </si>
  <si>
    <t>Beispiel: Arbeitsplatzpauschale klein</t>
  </si>
  <si>
    <t>Anlagen: Anschaffungen und Abschreibung</t>
  </si>
  <si>
    <t>Geräte, Möbel, Fahrzeuge. Bis zur GWG-Grenze sofort absetzbar, darüber verteilt über die Nutzungsdauer. Im ersten Jahr nur die Hälfte, wenn höchstens 6 Monate genutzt.</t>
  </si>
  <si>
    <t>Bezeichnung</t>
  </si>
  <si>
    <t>Anschaffung am</t>
  </si>
  <si>
    <t>Anschaffungskosten</t>
  </si>
  <si>
    <t>Nutzungsdauer (Jahre)</t>
  </si>
  <si>
    <t>AfA bis Vorjahr</t>
  </si>
  <si>
    <t>AfA im Steuerjahr</t>
  </si>
  <si>
    <t>Restwert Jahresende</t>
  </si>
  <si>
    <t>Beispiel: Kamera</t>
  </si>
  <si>
    <t>Beispiel: Monitor</t>
  </si>
  <si>
    <t>Anschaffungskosten so eintragen, wie bezahlt (inklusive Umsatzsteuer). Nutzungsdauer nur bei Abschreibung nötig, z. B. Computer 3 Jahre, Möbel 10 Jahre, Pkw 8 Jahre.</t>
  </si>
  <si>
    <t>Summe AfA im Steuerjahr (geht in Kennzahl 9130):</t>
  </si>
  <si>
    <t>Übersicht für die Beilage E1a</t>
  </si>
  <si>
    <t>Beträge je Kennzahl für das eingestellte Steuerjahr. In FinanzOnline in die gleichnamigen Kennzahlen der Beilage E1a übertragen.</t>
  </si>
  <si>
    <t>Bezeichnung im Formular E1a</t>
  </si>
  <si>
    <t>Betriebseinnahmen</t>
  </si>
  <si>
    <t>Erträge/Betriebseinnahmen (Waren-/Leistungserlöse) ohne Mitteilung nach § 109a</t>
  </si>
  <si>
    <t>Erträge/Betriebseinnahmen mit Mitteilung nach § 109a</t>
  </si>
  <si>
    <t>Anlagenerträge/Entnahmewerte von Anlagevermögen</t>
  </si>
  <si>
    <t>Übrige Erträge/Betriebseinnahmen</t>
  </si>
  <si>
    <t>Summe Betriebseinnahmen</t>
  </si>
  <si>
    <t>Betriebsausgaben</t>
  </si>
  <si>
    <t>Waren, Rohstoffe, Hilfsstoffe</t>
  </si>
  <si>
    <t>Beigestelltes Personal und Fremdleistungen</t>
  </si>
  <si>
    <t>Personalaufwand (eigenes Personal)</t>
  </si>
  <si>
    <t>Abschreibungen auf das Anlagevermögen (AfA, GWG)</t>
  </si>
  <si>
    <t>Reise- und Fahrtspesen inkl. Kilometergeld und Diäten</t>
  </si>
  <si>
    <t>Pauschale 50 % der Kosten einer Öffi-Karte</t>
  </si>
  <si>
    <t>Tatsächliche Kfz-Kosten (ohne AfA, Leasing, Kilometergeld)</t>
  </si>
  <si>
    <t>Miet- und Pachtaufwand, Leasing</t>
  </si>
  <si>
    <t>Provisionen an Dritte, Lizenzgebühren</t>
  </si>
  <si>
    <t>Werbe- und Repräsentationsaufwendungen</t>
  </si>
  <si>
    <t>Kleines Arbeitsplatzpauschale</t>
  </si>
  <si>
    <t>Ergonomisch geeignetes Mobiliar</t>
  </si>
  <si>
    <t>Großes Arbeitsplatzpauschale</t>
  </si>
  <si>
    <t>Zinsen und ähnliche Aufwendungen</t>
  </si>
  <si>
    <t>Eigene Pflichtversicherungsbeiträge, Selbständigenvorsorge</t>
  </si>
  <si>
    <t>Übrige Aufwendungen/Betriebsausgaben (Saldo)</t>
  </si>
  <si>
    <t>Summe Betriebsausgaben</t>
  </si>
  <si>
    <t>Gewinn/Verlust</t>
  </si>
  <si>
    <t>Grundfreibetrag (Gewinnfreibetrag ohne Investition)</t>
  </si>
  <si>
    <t>Gewinn nach Grundfreibetrag (vereinfacht)</t>
  </si>
  <si>
    <t>Hinweise: Kennzahlen mit 0 € einfach leer lassen; Kennzahl 9040 und 9050 sind aber immer auszufüllen (notfalls mit 0). Der Grundfreibetrag steht nicht zu, wenn der Gewinn pauschal ermittelt wird. Weitere Korrekturen (z. B. Privatanteile, Investitionsfreibetrag) sind hier nicht berücksichtigt. Ohne Gewähr, ersetzt keine Steuerberatung.</t>
  </si>
  <si>
    <t>Auswertung</t>
  </si>
  <si>
    <t>Aktualisiert sich automatisch aus Journal und Anlagen. Die Abschreibung (AfA) ist nur in der Jahressumme enthalten, nicht in den Monaten.</t>
  </si>
  <si>
    <t>Betriebsausgaben inkl. AfA</t>
  </si>
  <si>
    <t>Gewinn</t>
  </si>
  <si>
    <t>Umsatz / Kleinunternehmergrenze</t>
  </si>
  <si>
    <t>Einnahmen</t>
  </si>
  <si>
    <t>Ausgaben</t>
  </si>
  <si>
    <t>Gewinn kumuliert</t>
  </si>
  <si>
    <t>Umsatz kumuliert</t>
  </si>
  <si>
    <t>Kleinunternehmer-grenze</t>
  </si>
  <si>
    <t>Jänner</t>
  </si>
  <si>
    <t>Februar</t>
  </si>
  <si>
    <t>März</t>
  </si>
  <si>
    <t>April</t>
  </si>
  <si>
    <t>Mai</t>
  </si>
  <si>
    <t>Juni</t>
  </si>
  <si>
    <t>Juli</t>
  </si>
  <si>
    <t>August</t>
  </si>
  <si>
    <t>September</t>
  </si>
  <si>
    <t>Oktober</t>
  </si>
  <si>
    <t>November</t>
  </si>
  <si>
    <t>Dezember</t>
  </si>
  <si>
    <t>Summe</t>
  </si>
  <si>
    <t>Quartal</t>
  </si>
  <si>
    <t>1. Quartal</t>
  </si>
  <si>
    <t>2. Quartal</t>
  </si>
  <si>
    <t>3. Quartal</t>
  </si>
  <si>
    <t>4. Quartal</t>
  </si>
  <si>
    <t>Ausgaben nach Kategorie</t>
  </si>
  <si>
    <t>Abschreibung (Anlagen)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</si>
</sst>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0.00\ &quot;€&quot;;&quot;–&quot;"/>
    <numFmt numFmtId="165" formatCode="0\ %"/>
    <numFmt numFmtId="166" formatCode="dd\.mm\.yyyy"/>
  </numFmts>
  <fonts count="11" x14ac:knownFonts="1">
    <font>
      <sz val="11"/>
      <color theme="1"/>
      <name val="Aptos Narrow"/>
      <family val="2"/>
      <scheme val="minor"/>
    </font>
    <font>
      <sz val="10"/>
      <color theme="1"/>
      <name val="Arial"/>
      <family val="2"/>
    </font>
    <font>
      <b/>
      <sz val="16"/>
      <color theme="1"/>
      <name val="Arial"/>
      <family val="2"/>
    </font>
    <font>
      <b/>
      <sz val="16"/>
      <color rgb="FF111111"/>
      <name val="Arial"/>
      <family val="2"/>
    </font>
    <font>
      <sz val="10"/>
      <color rgb="FF777777"/>
      <name val="Arial"/>
      <family val="2"/>
    </font>
    <font>
      <b/>
      <sz val="10"/>
      <color rgb="FFFFFFFF"/>
      <name val="Arial"/>
      <family val="2"/>
    </font>
    <font>
      <b/>
      <sz val="10"/>
      <color theme="1"/>
      <name val="Arial"/>
      <family val="2"/>
    </font>
    <font>
      <b/>
      <sz val="12"/>
      <color theme="1"/>
      <name val="Arial"/>
      <family val="2"/>
    </font>
    <font>
      <b/>
      <sz val="10"/>
      <color rgb="FF0000FF"/>
      <name val="Arial"/>
      <family val="2"/>
    </font>
    <font>
      <b/>
      <sz val="16"/>
      <color rgb="FFEB8402"/>
      <name val="Arial"/>
      <family val="2"/>
    </font>
    <font>
      <sz val="9"/>
      <color theme="1"/>
      <name val="Arial"/>
      <family val="2"/>
    </font>
  </fonts>
  <fills count="6">
    <fill>
      <patternFill patternType="none"/>
    </fill>
    <fill>
      <patternFill patternType="gray125"/>
    </fill>
    <fill>
      <patternFill patternType="solid">
        <fgColor rgb="FFEB8402"/>
        <bgColor indexed="64"/>
      </patternFill>
    </fill>
    <fill>
      <patternFill patternType="solid">
        <fgColor rgb="FFFFEEBF"/>
        <bgColor indexed="64"/>
      </patternFill>
    </fill>
    <fill>
      <patternFill patternType="solid">
        <fgColor rgb="FF777777"/>
        <bgColor indexed="64"/>
      </patternFill>
    </fill>
    <fill>
      <patternFill patternType="solid">
        <fgColor rgb="FFF3F3F3"/>
        <bgColor indexed="64"/>
      </patternFill>
    </fill>
  </fills>
  <borders count="4">
    <border>
      <left/>
      <right/>
      <top/>
      <bottom/>
      <diagonal/>
    </border>
    <border>
      <left/>
      <right/>
      <top style="thin">
        <color rgb="FFDCDCDC"/>
      </top>
      <bottom style="thin">
        <color rgb="FFDCDCDC"/>
      </bottom>
      <diagonal/>
    </border>
    <border>
      <left/>
      <right/>
      <top style="thin">
        <color rgb="FFDCDCDC"/>
      </top>
      <bottom/>
      <diagonal/>
    </border>
    <border>
      <left/>
      <right/>
      <top style="thin">
        <color rgb="FF111111"/>
      </top>
      <bottom/>
      <diagonal/>
    </border>
  </borders>
  <cellStyleXfs count="1">
    <xf numFmtId="0" fontId="0" fillId="0" borderId="0"/>
  </cellStyleXfs>
  <cellXfs count="45">
    <xf numFmtId="0" fontId="0" fillId="0" borderId="0" xfId="0"/>
    <xf numFmtId="0" fontId="1" fillId="0" borderId="0" xfId="0" applyFont="1"/>
    <xf numFmtId="0" fontId="3" fillId="0" borderId="0" xfId="0" applyFont="1"/>
    <xf numFmtId="0" fontId="4" fillId="0" borderId="0" xfId="0" applyFont="1"/>
    <xf numFmtId="0" fontId="5" fillId="2" borderId="0" xfId="0" applyFont="1" applyFill="1" applyAlignment="1">
      <alignment vertical="center" wrapText="1"/>
    </xf>
    <xf numFmtId="0" fontId="1" fillId="0" borderId="0" xfId="0" applyFont="1" applyAlignment="1">
      <alignment horizontal="center"/>
    </xf>
    <xf numFmtId="0" fontId="5" fillId="2" borderId="0" xfId="0" applyFont="1" applyFill="1" applyAlignment="1">
      <alignment horizontal="center" vertical="center" wrapText="1"/>
    </xf>
    <xf numFmtId="0" fontId="6" fillId="0" borderId="0" xfId="0" applyFont="1"/>
    <xf numFmtId="0" fontId="7" fillId="0" borderId="0" xfId="0" applyFont="1"/>
    <xf numFmtId="0" fontId="1" fillId="0" borderId="0" xfId="0" applyFont="1" applyAlignment="1">
      <alignment wrapText="1"/>
    </xf>
    <xf numFmtId="0" fontId="1" fillId="3" borderId="0" xfId="0" applyFont="1" applyFill="1"/>
    <xf numFmtId="0" fontId="1" fillId="0" borderId="0" xfId="0" applyFont="1" applyBorder="1" applyAlignment="1">
      <alignment vertical="top"/>
    </xf>
    <xf numFmtId="0" fontId="1" fillId="0" borderId="0"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2" xfId="0" applyFont="1" applyBorder="1" applyAlignment="1">
      <alignment vertical="top"/>
    </xf>
    <xf numFmtId="0" fontId="1" fillId="0" borderId="2" xfId="0" applyFont="1" applyBorder="1" applyAlignment="1">
      <alignment vertical="top" wrapText="1"/>
    </xf>
    <xf numFmtId="1" fontId="8" fillId="3" borderId="0" xfId="0" applyNumberFormat="1" applyFont="1" applyFill="1" applyBorder="1" applyAlignment="1">
      <alignment horizontal="left" vertical="top"/>
    </xf>
    <xf numFmtId="164" fontId="8" fillId="3" borderId="2" xfId="0" applyNumberFormat="1" applyFont="1" applyFill="1" applyBorder="1" applyAlignment="1">
      <alignment horizontal="left" vertical="top"/>
    </xf>
    <xf numFmtId="165" fontId="8" fillId="3" borderId="2" xfId="0" applyNumberFormat="1" applyFont="1" applyFill="1" applyBorder="1" applyAlignment="1">
      <alignment horizontal="left" vertical="top"/>
    </xf>
    <xf numFmtId="164" fontId="8" fillId="3" borderId="1" xfId="0" applyNumberFormat="1" applyFont="1" applyFill="1" applyBorder="1" applyAlignment="1">
      <alignment horizontal="left" vertical="top"/>
    </xf>
    <xf numFmtId="0" fontId="1" fillId="0" borderId="0" xfId="0" applyFont="1" applyAlignment="1">
      <alignment vertical="top" wrapText="1"/>
    </xf>
    <xf numFmtId="0" fontId="6" fillId="0" borderId="0" xfId="0" applyFont="1" applyAlignment="1">
      <alignment vertical="top" wrapText="1"/>
    </xf>
    <xf numFmtId="0" fontId="4" fillId="0" borderId="0" xfId="0" applyFont="1" applyAlignment="1">
      <alignment wrapText="1"/>
    </xf>
    <xf numFmtId="0" fontId="4" fillId="0" borderId="0" xfId="0" applyFont="1" applyAlignment="1">
      <alignment vertical="top" wrapText="1"/>
    </xf>
    <xf numFmtId="0" fontId="5" fillId="4" borderId="0" xfId="0" applyFont="1" applyFill="1" applyAlignment="1">
      <alignment vertical="center" wrapText="1"/>
    </xf>
    <xf numFmtId="166" fontId="1" fillId="0" borderId="0" xfId="0" applyNumberFormat="1" applyFont="1"/>
    <xf numFmtId="164" fontId="1" fillId="0" borderId="0" xfId="0" applyNumberFormat="1" applyFont="1"/>
    <xf numFmtId="0" fontId="5" fillId="4" borderId="0" xfId="0" applyFont="1" applyFill="1" applyAlignment="1">
      <alignment horizontal="center" vertical="center" wrapText="1"/>
    </xf>
    <xf numFmtId="164" fontId="6" fillId="0" borderId="0" xfId="0" applyNumberFormat="1" applyFont="1"/>
    <xf numFmtId="0" fontId="6" fillId="3" borderId="0" xfId="0" applyFont="1" applyFill="1"/>
    <xf numFmtId="164" fontId="1" fillId="3" borderId="0" xfId="0" applyNumberFormat="1" applyFont="1" applyFill="1"/>
    <xf numFmtId="164" fontId="6" fillId="3" borderId="0" xfId="0" applyNumberFormat="1" applyFont="1" applyFill="1"/>
    <xf numFmtId="0" fontId="6" fillId="3" borderId="0" xfId="0" applyFont="1" applyFill="1" applyAlignment="1">
      <alignment horizontal="center"/>
    </xf>
    <xf numFmtId="0" fontId="4" fillId="5" borderId="0" xfId="0" applyFont="1" applyFill="1"/>
    <xf numFmtId="0" fontId="1" fillId="5" borderId="0" xfId="0" applyFont="1" applyFill="1"/>
    <xf numFmtId="164" fontId="2" fillId="5" borderId="0" xfId="0" applyNumberFormat="1" applyFont="1" applyFill="1" applyAlignment="1">
      <alignment horizontal="left"/>
    </xf>
    <xf numFmtId="0" fontId="1" fillId="5" borderId="0" xfId="0" applyFont="1" applyFill="1" applyAlignment="1">
      <alignment horizontal="left"/>
    </xf>
    <xf numFmtId="164" fontId="9" fillId="5" borderId="0" xfId="0" applyNumberFormat="1" applyFont="1" applyFill="1" applyAlignment="1">
      <alignment horizontal="left"/>
    </xf>
    <xf numFmtId="165" fontId="2" fillId="5" borderId="0" xfId="0" applyNumberFormat="1" applyFont="1" applyFill="1" applyAlignment="1">
      <alignment horizontal="left"/>
    </xf>
    <xf numFmtId="0" fontId="6" fillId="0" borderId="3" xfId="0" applyFont="1" applyBorder="1"/>
    <xf numFmtId="164" fontId="6" fillId="0" borderId="3" xfId="0" applyNumberFormat="1" applyFont="1" applyBorder="1"/>
    <xf numFmtId="164" fontId="1" fillId="0" borderId="3" xfId="0" applyNumberFormat="1" applyFont="1" applyBorder="1"/>
    <xf numFmtId="0" fontId="10" fillId="0" borderId="0" xfId="0" applyFont="1"/>
    <xf numFmtId="164" fontId="10" fillId="0" borderId="0" xfId="0" applyNumberFormat="1" applyFont="1"/>
  </cellXfs>
  <cellStyles count="1">
    <cellStyle name="Standard" xfId="0" builtinId="0"/>
  </cellStyles>
  <dxfs count="27">
    <dxf>
      <font>
        <b val="0"/>
        <i val="0"/>
        <strike val="0"/>
        <condense val="0"/>
        <extend val="0"/>
        <outline val="0"/>
        <shadow val="0"/>
        <u val="none"/>
        <vertAlign val="baseline"/>
        <sz val="10"/>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0"/>
        <color theme="1"/>
        <name val="Arial"/>
        <family val="2"/>
        <scheme val="none"/>
      </font>
      <numFmt numFmtId="164" formatCode="#,##0.00\ &quot;€&quot;;\-#,##0.00\ &quot;€&quot;;&quot;–&quot;"/>
    </dxf>
    <dxf>
      <font>
        <b val="0"/>
        <i val="0"/>
        <strike val="0"/>
        <condense val="0"/>
        <extend val="0"/>
        <outline val="0"/>
        <shadow val="0"/>
        <u val="none"/>
        <vertAlign val="baseline"/>
        <sz val="10"/>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0"/>
        <color theme="1"/>
        <name val="Arial"/>
        <family val="2"/>
        <scheme val="none"/>
      </font>
      <numFmt numFmtId="164" formatCode="#,##0.00\ &quot;€&quot;;\-#,##0.00\ &quot;€&quot;;&quot;–&quot;"/>
    </dxf>
    <dxf>
      <font>
        <b val="0"/>
        <i val="0"/>
        <strike val="0"/>
        <condense val="0"/>
        <extend val="0"/>
        <outline val="0"/>
        <shadow val="0"/>
        <u val="none"/>
        <vertAlign val="baseline"/>
        <sz val="10"/>
        <color theme="1"/>
        <name val="Arial"/>
        <family val="2"/>
        <scheme val="none"/>
      </font>
      <numFmt numFmtId="164" formatCode="#,##0.00\ &quot;€&quot;;\-#,##0.00\ &quot;€&quot;;&quot;–&quot;"/>
    </dxf>
    <dxf>
      <font>
        <b val="0"/>
        <i val="0"/>
        <strike val="0"/>
        <condense val="0"/>
        <extend val="0"/>
        <outline val="0"/>
        <shadow val="0"/>
        <u val="none"/>
        <vertAlign val="baseline"/>
        <sz val="10"/>
        <color theme="1"/>
        <name val="Arial"/>
        <family val="2"/>
        <scheme val="none"/>
      </font>
      <numFmt numFmtId="164" formatCode="#,##0.00\ &quot;€&quot;;\-#,##0.00\ &quot;€&quot;;&quot;–&quot;"/>
    </dxf>
    <dxf>
      <font>
        <b val="0"/>
        <i val="0"/>
        <strike val="0"/>
        <condense val="0"/>
        <extend val="0"/>
        <outline val="0"/>
        <shadow val="0"/>
        <u val="none"/>
        <vertAlign val="baseline"/>
        <sz val="10"/>
        <color theme="1"/>
        <name val="Arial"/>
        <family val="2"/>
        <scheme val="none"/>
      </font>
      <numFmt numFmtId="166" formatCode="dd\.mm\.yyyy"/>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EB840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color rgb="FFC00000"/>
      </font>
    </dxf>
    <dxf>
      <font>
        <b val="0"/>
        <i val="0"/>
        <strike val="0"/>
        <condense val="0"/>
        <extend val="0"/>
        <outline val="0"/>
        <shadow val="0"/>
        <u val="none"/>
        <vertAlign val="baseline"/>
        <sz val="10"/>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0"/>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0"/>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0"/>
        <color theme="1"/>
        <name val="Arial"/>
        <family val="2"/>
        <scheme val="none"/>
      </font>
      <numFmt numFmtId="164" formatCode="#,##0.00\ &quot;€&quot;;\-#,##0.00\ &quot;€&quot;;&quot;–&quo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66" formatCode="dd\.mm\.yyyy"/>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EB840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EB840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Einnahmen und Ausgaben pro Monat</a:t>
            </a:r>
          </a:p>
        </c:rich>
      </c:tx>
      <c:overlay val="0"/>
    </c:title>
    <c:autoTitleDeleted val="0"/>
    <c:plotArea>
      <c:layout/>
      <c:barChart>
        <c:barDir val="col"/>
        <c:grouping val="clustered"/>
        <c:varyColors val="0"/>
        <c:ser>
          <c:idx val="0"/>
          <c:order val="0"/>
          <c:tx>
            <c:strRef>
              <c:f>Auswertung!$B$7</c:f>
              <c:strCache>
                <c:ptCount val="1"/>
                <c:pt idx="0">
                  <c:v>Einnahmen</c:v>
                </c:pt>
              </c:strCache>
            </c:strRef>
          </c:tx>
          <c:spPr>
            <a:solidFill>
              <a:srgbClr val="EB8402"/>
            </a:solidFill>
          </c:spPr>
          <c:invertIfNegative val="0"/>
          <c:cat>
            <c:strRef>
              <c:f>Auswertung!$A$8:$A$19</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Auswertung!$B$8:$B$19</c:f>
              <c:numCache>
                <c:formatCode>#\ ##0.00\ "€";\-#\ ##0.00\ "€";"–"</c:formatCode>
                <c:ptCount val="12"/>
                <c:pt idx="0">
                  <c:v>2400</c:v>
                </c:pt>
                <c:pt idx="1">
                  <c:v>1200</c:v>
                </c:pt>
                <c:pt idx="2">
                  <c:v>0</c:v>
                </c:pt>
                <c:pt idx="3">
                  <c:v>900</c:v>
                </c:pt>
                <c:pt idx="4">
                  <c:v>0</c:v>
                </c:pt>
                <c:pt idx="5">
                  <c:v>3600</c:v>
                </c:pt>
                <c:pt idx="6">
                  <c:v>0</c:v>
                </c:pt>
                <c:pt idx="7">
                  <c:v>0</c:v>
                </c:pt>
                <c:pt idx="8">
                  <c:v>0</c:v>
                </c:pt>
                <c:pt idx="9">
                  <c:v>0</c:v>
                </c:pt>
                <c:pt idx="10">
                  <c:v>4800</c:v>
                </c:pt>
                <c:pt idx="11">
                  <c:v>0</c:v>
                </c:pt>
              </c:numCache>
            </c:numRef>
          </c:val>
          <c:extLst>
            <c:ext xmlns:c16="http://schemas.microsoft.com/office/drawing/2014/chart" uri="{C3380CC4-5D6E-409C-BE32-E72D297353CC}">
              <c16:uniqueId val="{00000001-3E7E-4A57-B8AC-2632EE75E07A}"/>
            </c:ext>
          </c:extLst>
        </c:ser>
        <c:ser>
          <c:idx val="1"/>
          <c:order val="1"/>
          <c:tx>
            <c:strRef>
              <c:f>Auswertung!$C$7</c:f>
              <c:strCache>
                <c:ptCount val="1"/>
                <c:pt idx="0">
                  <c:v>Ausgaben</c:v>
                </c:pt>
              </c:strCache>
            </c:strRef>
          </c:tx>
          <c:spPr>
            <a:solidFill>
              <a:srgbClr val="777777"/>
            </a:solidFill>
          </c:spPr>
          <c:invertIfNegative val="0"/>
          <c:cat>
            <c:strRef>
              <c:f>Auswertung!$A$8:$A$19</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Auswertung!$C$8:$C$19</c:f>
              <c:numCache>
                <c:formatCode>#\ ##0.00\ "€";\-#\ ##0.00\ "€";"–"</c:formatCode>
                <c:ptCount val="12"/>
                <c:pt idx="0">
                  <c:v>36</c:v>
                </c:pt>
                <c:pt idx="1">
                  <c:v>690</c:v>
                </c:pt>
                <c:pt idx="2">
                  <c:v>204</c:v>
                </c:pt>
                <c:pt idx="3">
                  <c:v>0</c:v>
                </c:pt>
                <c:pt idx="4">
                  <c:v>60</c:v>
                </c:pt>
                <c:pt idx="5">
                  <c:v>0</c:v>
                </c:pt>
                <c:pt idx="6">
                  <c:v>0</c:v>
                </c:pt>
                <c:pt idx="7">
                  <c:v>0</c:v>
                </c:pt>
                <c:pt idx="8">
                  <c:v>49</c:v>
                </c:pt>
                <c:pt idx="9">
                  <c:v>0</c:v>
                </c:pt>
                <c:pt idx="10">
                  <c:v>0</c:v>
                </c:pt>
                <c:pt idx="11">
                  <c:v>300</c:v>
                </c:pt>
              </c:numCache>
            </c:numRef>
          </c:val>
          <c:extLst>
            <c:ext xmlns:c16="http://schemas.microsoft.com/office/drawing/2014/chart" uri="{C3380CC4-5D6E-409C-BE32-E72D297353CC}">
              <c16:uniqueId val="{00000002-3E7E-4A57-B8AC-2632EE75E07A}"/>
            </c:ext>
          </c:extLst>
        </c:ser>
        <c:dLbls>
          <c:showLegendKey val="0"/>
          <c:showVal val="0"/>
          <c:showCatName val="0"/>
          <c:showSerName val="0"/>
          <c:showPercent val="0"/>
          <c:showBubbleSize val="0"/>
        </c:dLbls>
        <c:gapWidth val="150"/>
        <c:axId val="1016914928"/>
        <c:axId val="1443645744"/>
      </c:barChart>
      <c:catAx>
        <c:axId val="1016914928"/>
        <c:scaling>
          <c:orientation val="minMax"/>
        </c:scaling>
        <c:delete val="0"/>
        <c:axPos val="b"/>
        <c:numFmt formatCode="General" sourceLinked="1"/>
        <c:majorTickMark val="out"/>
        <c:minorTickMark val="none"/>
        <c:tickLblPos val="nextTo"/>
        <c:txPr>
          <a:bodyPr/>
          <a:lstStyle/>
          <a:p>
            <a:pPr>
              <a:defRPr sz="800"/>
            </a:pPr>
            <a:endParaRPr lang="de-DE"/>
          </a:p>
        </c:txPr>
        <c:crossAx val="1443645744"/>
        <c:crosses val="autoZero"/>
        <c:auto val="1"/>
        <c:lblAlgn val="ctr"/>
        <c:lblOffset val="100"/>
        <c:noMultiLvlLbl val="0"/>
      </c:catAx>
      <c:valAx>
        <c:axId val="1443645744"/>
        <c:scaling>
          <c:orientation val="minMax"/>
        </c:scaling>
        <c:delete val="0"/>
        <c:axPos val="l"/>
        <c:majorGridlines/>
        <c:numFmt formatCode="#\ ##0.00\ &quot;€&quot;;\-#\ ##0.00\ &quot;€&quot;;&quot;–&quot;" sourceLinked="1"/>
        <c:majorTickMark val="out"/>
        <c:minorTickMark val="none"/>
        <c:tickLblPos val="nextTo"/>
        <c:crossAx val="1016914928"/>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a:latin typeface="Arial"/>
          <a:ea typeface="Arial"/>
          <a:cs typeface="Arial"/>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Gewinn im Jahresverlauf (kumuliert)</a:t>
            </a:r>
          </a:p>
        </c:rich>
      </c:tx>
      <c:overlay val="0"/>
    </c:title>
    <c:autoTitleDeleted val="0"/>
    <c:plotArea>
      <c:layout/>
      <c:lineChart>
        <c:grouping val="standard"/>
        <c:varyColors val="0"/>
        <c:ser>
          <c:idx val="0"/>
          <c:order val="0"/>
          <c:tx>
            <c:strRef>
              <c:f>Auswertung!$E$7</c:f>
              <c:strCache>
                <c:ptCount val="1"/>
                <c:pt idx="0">
                  <c:v>Gewinn kumuliert</c:v>
                </c:pt>
              </c:strCache>
            </c:strRef>
          </c:tx>
          <c:spPr>
            <a:ln w="38100">
              <a:solidFill>
                <a:srgbClr val="EB8402"/>
              </a:solidFill>
            </a:ln>
          </c:spPr>
          <c:marker>
            <c:symbol val="diamond"/>
            <c:size val="5"/>
            <c:spPr>
              <a:solidFill>
                <a:srgbClr val="EB8402"/>
              </a:solidFill>
              <a:ln w="38100">
                <a:solidFill>
                  <a:srgbClr val="EB8402"/>
                </a:solidFill>
                <a:prstDash val="solid"/>
              </a:ln>
            </c:spPr>
          </c:marker>
          <c:cat>
            <c:strRef>
              <c:f>Auswertung!$A$8:$A$19</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Auswertung!$E$8:$E$19</c:f>
              <c:numCache>
                <c:formatCode>#\ ##0.00\ "€";\-#\ ##0.00\ "€";"–"</c:formatCode>
                <c:ptCount val="12"/>
                <c:pt idx="0">
                  <c:v>2364</c:v>
                </c:pt>
                <c:pt idx="1">
                  <c:v>2874</c:v>
                </c:pt>
                <c:pt idx="2">
                  <c:v>2670</c:v>
                </c:pt>
                <c:pt idx="3">
                  <c:v>3570</c:v>
                </c:pt>
                <c:pt idx="4">
                  <c:v>3510</c:v>
                </c:pt>
                <c:pt idx="5">
                  <c:v>7110</c:v>
                </c:pt>
                <c:pt idx="6">
                  <c:v>7110</c:v>
                </c:pt>
                <c:pt idx="7">
                  <c:v>7110</c:v>
                </c:pt>
                <c:pt idx="8">
                  <c:v>7061</c:v>
                </c:pt>
                <c:pt idx="9">
                  <c:v>7061</c:v>
                </c:pt>
                <c:pt idx="10">
                  <c:v>11861</c:v>
                </c:pt>
                <c:pt idx="11">
                  <c:v>11561</c:v>
                </c:pt>
              </c:numCache>
            </c:numRef>
          </c:val>
          <c:smooth val="0"/>
          <c:extLst>
            <c:ext xmlns:c16="http://schemas.microsoft.com/office/drawing/2014/chart" uri="{C3380CC4-5D6E-409C-BE32-E72D297353CC}">
              <c16:uniqueId val="{00000001-433E-496B-86F8-D0C8BF064D25}"/>
            </c:ext>
          </c:extLst>
        </c:ser>
        <c:dLbls>
          <c:showLegendKey val="0"/>
          <c:showVal val="0"/>
          <c:showCatName val="0"/>
          <c:showSerName val="0"/>
          <c:showPercent val="0"/>
          <c:showBubbleSize val="0"/>
        </c:dLbls>
        <c:marker val="1"/>
        <c:smooth val="0"/>
        <c:axId val="1016914000"/>
        <c:axId val="1443642384"/>
      </c:lineChart>
      <c:catAx>
        <c:axId val="1016914000"/>
        <c:scaling>
          <c:orientation val="minMax"/>
        </c:scaling>
        <c:delete val="0"/>
        <c:axPos val="b"/>
        <c:numFmt formatCode="General" sourceLinked="1"/>
        <c:majorTickMark val="out"/>
        <c:minorTickMark val="none"/>
        <c:tickLblPos val="nextTo"/>
        <c:txPr>
          <a:bodyPr/>
          <a:lstStyle/>
          <a:p>
            <a:pPr>
              <a:defRPr sz="800"/>
            </a:pPr>
            <a:endParaRPr lang="de-DE"/>
          </a:p>
        </c:txPr>
        <c:crossAx val="1443642384"/>
        <c:crosses val="autoZero"/>
        <c:auto val="1"/>
        <c:lblAlgn val="ctr"/>
        <c:lblOffset val="100"/>
        <c:noMultiLvlLbl val="0"/>
      </c:catAx>
      <c:valAx>
        <c:axId val="1443642384"/>
        <c:scaling>
          <c:orientation val="minMax"/>
        </c:scaling>
        <c:delete val="0"/>
        <c:axPos val="l"/>
        <c:majorGridlines/>
        <c:numFmt formatCode="#\ ##0.00\ &quot;€&quot;;\-#\ ##0.00\ &quot;€&quot;;&quot;–&quot;" sourceLinked="1"/>
        <c:majorTickMark val="out"/>
        <c:minorTickMark val="none"/>
        <c:tickLblPos val="nextTo"/>
        <c:crossAx val="1016914000"/>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a:latin typeface="Arial"/>
          <a:ea typeface="Arial"/>
          <a:cs typeface="Arial"/>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Umsatz und Kleinunternehmergrenze</a:t>
            </a:r>
          </a:p>
        </c:rich>
      </c:tx>
      <c:overlay val="0"/>
    </c:title>
    <c:autoTitleDeleted val="0"/>
    <c:plotArea>
      <c:layout/>
      <c:lineChart>
        <c:grouping val="standard"/>
        <c:varyColors val="0"/>
        <c:ser>
          <c:idx val="0"/>
          <c:order val="0"/>
          <c:tx>
            <c:strRef>
              <c:f>Auswertung!$F$7</c:f>
              <c:strCache>
                <c:ptCount val="1"/>
                <c:pt idx="0">
                  <c:v>Umsatz kumuliert</c:v>
                </c:pt>
              </c:strCache>
            </c:strRef>
          </c:tx>
          <c:spPr>
            <a:ln w="38100">
              <a:solidFill>
                <a:srgbClr val="EB8402"/>
              </a:solidFill>
            </a:ln>
          </c:spPr>
          <c:marker>
            <c:symbol val="none"/>
          </c:marker>
          <c:cat>
            <c:strRef>
              <c:f>Auswertung!$A$8:$A$19</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Auswertung!$F$8:$F$19</c:f>
              <c:numCache>
                <c:formatCode>#\ ##0.00\ "€";\-#\ ##0.00\ "€";"–"</c:formatCode>
                <c:ptCount val="12"/>
                <c:pt idx="0">
                  <c:v>2400</c:v>
                </c:pt>
                <c:pt idx="1">
                  <c:v>3600</c:v>
                </c:pt>
                <c:pt idx="2">
                  <c:v>3600</c:v>
                </c:pt>
                <c:pt idx="3">
                  <c:v>4500</c:v>
                </c:pt>
                <c:pt idx="4">
                  <c:v>4500</c:v>
                </c:pt>
                <c:pt idx="5">
                  <c:v>8100</c:v>
                </c:pt>
                <c:pt idx="6">
                  <c:v>8100</c:v>
                </c:pt>
                <c:pt idx="7">
                  <c:v>8100</c:v>
                </c:pt>
                <c:pt idx="8">
                  <c:v>8100</c:v>
                </c:pt>
                <c:pt idx="9">
                  <c:v>8100</c:v>
                </c:pt>
                <c:pt idx="10">
                  <c:v>12900</c:v>
                </c:pt>
                <c:pt idx="11">
                  <c:v>12900</c:v>
                </c:pt>
              </c:numCache>
            </c:numRef>
          </c:val>
          <c:smooth val="0"/>
          <c:extLst>
            <c:ext xmlns:c16="http://schemas.microsoft.com/office/drawing/2014/chart" uri="{C3380CC4-5D6E-409C-BE32-E72D297353CC}">
              <c16:uniqueId val="{00000001-79E9-4224-81CD-E26CD657AAB2}"/>
            </c:ext>
          </c:extLst>
        </c:ser>
        <c:ser>
          <c:idx val="1"/>
          <c:order val="1"/>
          <c:tx>
            <c:strRef>
              <c:f>Auswertung!$G$7</c:f>
              <c:strCache>
                <c:ptCount val="1"/>
                <c:pt idx="0">
                  <c:v>Kleinunternehmer-grenze</c:v>
                </c:pt>
              </c:strCache>
            </c:strRef>
          </c:tx>
          <c:spPr>
            <a:ln w="25400">
              <a:solidFill>
                <a:srgbClr val="777777"/>
              </a:solidFill>
              <a:prstDash val="dash"/>
            </a:ln>
          </c:spPr>
          <c:marker>
            <c:symbol val="none"/>
          </c:marker>
          <c:cat>
            <c:strRef>
              <c:f>Auswertung!$A$8:$A$19</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Auswertung!$G$8:$G$19</c:f>
              <c:numCache>
                <c:formatCode>#\ ##0.00\ "€";\-#\ ##0.00\ "€";"–"</c:formatCode>
                <c:ptCount val="12"/>
                <c:pt idx="0">
                  <c:v>55000</c:v>
                </c:pt>
                <c:pt idx="1">
                  <c:v>55000</c:v>
                </c:pt>
                <c:pt idx="2">
                  <c:v>55000</c:v>
                </c:pt>
                <c:pt idx="3">
                  <c:v>55000</c:v>
                </c:pt>
                <c:pt idx="4">
                  <c:v>55000</c:v>
                </c:pt>
                <c:pt idx="5">
                  <c:v>55000</c:v>
                </c:pt>
                <c:pt idx="6">
                  <c:v>55000</c:v>
                </c:pt>
                <c:pt idx="7">
                  <c:v>55000</c:v>
                </c:pt>
                <c:pt idx="8">
                  <c:v>55000</c:v>
                </c:pt>
                <c:pt idx="9">
                  <c:v>55000</c:v>
                </c:pt>
                <c:pt idx="10">
                  <c:v>55000</c:v>
                </c:pt>
                <c:pt idx="11">
                  <c:v>55000</c:v>
                </c:pt>
              </c:numCache>
            </c:numRef>
          </c:val>
          <c:smooth val="0"/>
          <c:extLst>
            <c:ext xmlns:c16="http://schemas.microsoft.com/office/drawing/2014/chart" uri="{C3380CC4-5D6E-409C-BE32-E72D297353CC}">
              <c16:uniqueId val="{00000002-79E9-4224-81CD-E26CD657AAB2}"/>
            </c:ext>
          </c:extLst>
        </c:ser>
        <c:dLbls>
          <c:showLegendKey val="0"/>
          <c:showVal val="0"/>
          <c:showCatName val="0"/>
          <c:showSerName val="0"/>
          <c:showPercent val="0"/>
          <c:showBubbleSize val="0"/>
        </c:dLbls>
        <c:smooth val="0"/>
        <c:axId val="1016915856"/>
        <c:axId val="1443653904"/>
      </c:lineChart>
      <c:catAx>
        <c:axId val="1016915856"/>
        <c:scaling>
          <c:orientation val="minMax"/>
        </c:scaling>
        <c:delete val="0"/>
        <c:axPos val="b"/>
        <c:numFmt formatCode="General" sourceLinked="1"/>
        <c:majorTickMark val="out"/>
        <c:minorTickMark val="none"/>
        <c:tickLblPos val="nextTo"/>
        <c:txPr>
          <a:bodyPr/>
          <a:lstStyle/>
          <a:p>
            <a:pPr>
              <a:defRPr sz="800"/>
            </a:pPr>
            <a:endParaRPr lang="de-DE"/>
          </a:p>
        </c:txPr>
        <c:crossAx val="1443653904"/>
        <c:crosses val="autoZero"/>
        <c:auto val="1"/>
        <c:lblAlgn val="ctr"/>
        <c:lblOffset val="100"/>
        <c:noMultiLvlLbl val="0"/>
      </c:catAx>
      <c:valAx>
        <c:axId val="1443653904"/>
        <c:scaling>
          <c:orientation val="minMax"/>
        </c:scaling>
        <c:delete val="0"/>
        <c:axPos val="l"/>
        <c:majorGridlines/>
        <c:numFmt formatCode="#\ ##0.00\ &quot;€&quot;;\-#\ ##0.00\ &quot;€&quot;;&quot;–&quot;" sourceLinked="1"/>
        <c:majorTickMark val="out"/>
        <c:minorTickMark val="none"/>
        <c:tickLblPos val="nextTo"/>
        <c:crossAx val="1016915856"/>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a:latin typeface="Arial"/>
          <a:ea typeface="Arial"/>
          <a:cs typeface="Arial"/>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Ausgaben nach Kategorie</a:t>
            </a:r>
          </a:p>
        </c:rich>
      </c:tx>
      <c:overlay val="0"/>
    </c:title>
    <c:autoTitleDeleted val="0"/>
    <c:plotArea>
      <c:layout/>
      <c:barChart>
        <c:barDir val="bar"/>
        <c:grouping val="clustered"/>
        <c:varyColors val="0"/>
        <c:ser>
          <c:idx val="0"/>
          <c:order val="0"/>
          <c:tx>
            <c:v>Ausgaben</c:v>
          </c:tx>
          <c:spPr>
            <a:solidFill>
              <a:srgbClr val="EB8402"/>
            </a:solidFill>
          </c:spPr>
          <c:invertIfNegative val="0"/>
          <c:cat>
            <c:strRef>
              <c:f>Auswertung!$I$8:$I$31</c:f>
              <c:strCache>
                <c:ptCount val="24"/>
                <c:pt idx="0">
                  <c:v>Waren, Material</c:v>
                </c:pt>
                <c:pt idx="1">
                  <c:v>Fremdleistungen</c:v>
                </c:pt>
                <c:pt idx="2">
                  <c:v>Personal</c:v>
                </c:pt>
                <c:pt idx="3">
                  <c:v>Reise- und Fahrtkosten</c:v>
                </c:pt>
                <c:pt idx="4">
                  <c:v>Öffi-Karte (50 % eintragen)</c:v>
                </c:pt>
                <c:pt idx="5">
                  <c:v>Kfz-Kosten</c:v>
                </c:pt>
                <c:pt idx="6">
                  <c:v>Miete, Pacht, Leasing</c:v>
                </c:pt>
                <c:pt idx="7">
                  <c:v>Provisionen, Lizenzgebühren</c:v>
                </c:pt>
                <c:pt idx="8">
                  <c:v>Werbung</c:v>
                </c:pt>
                <c:pt idx="9">
                  <c:v>Arbeitsplatzpauschale klein</c:v>
                </c:pt>
                <c:pt idx="10">
                  <c:v>Arbeitsplatzpauschale groß</c:v>
                </c:pt>
                <c:pt idx="11">
                  <c:v>Ergonomisches Mobiliar</c:v>
                </c:pt>
                <c:pt idx="12">
                  <c:v>Zinsen</c:v>
                </c:pt>
                <c:pt idx="13">
                  <c:v>Sozialversicherung (SVS)</c:v>
                </c:pt>
                <c:pt idx="14">
                  <c:v>Telefon und Internet</c:v>
                </c:pt>
                <c:pt idx="15">
                  <c:v>Software und Online-Dienste</c:v>
                </c:pt>
                <c:pt idx="16">
                  <c:v>Büromaterial und Porto</c:v>
                </c:pt>
                <c:pt idx="17">
                  <c:v>Fachliteratur und Weiterbildung</c:v>
                </c:pt>
                <c:pt idx="18">
                  <c:v>Beratung</c:v>
                </c:pt>
                <c:pt idx="19">
                  <c:v>Bankspesen</c:v>
                </c:pt>
                <c:pt idx="20">
                  <c:v>Betriebliche Versicherungen</c:v>
                </c:pt>
                <c:pt idx="21">
                  <c:v>Mitgliedsbeiträge und Gebühren</c:v>
                </c:pt>
                <c:pt idx="22">
                  <c:v>Sonstige Ausgaben</c:v>
                </c:pt>
                <c:pt idx="23">
                  <c:v>Abschreibung (Anlagen)</c:v>
                </c:pt>
              </c:strCache>
            </c:strRef>
          </c:cat>
          <c:val>
            <c:numRef>
              <c:f>Auswertung!$J$8:$J$31</c:f>
              <c:numCache>
                <c:formatCode>#\ ##0.00\ "€";\-#\ ##0.00\ "€";"–"</c:formatCode>
                <c:ptCount val="24"/>
                <c:pt idx="0">
                  <c:v>0</c:v>
                </c:pt>
                <c:pt idx="1">
                  <c:v>0</c:v>
                </c:pt>
                <c:pt idx="2">
                  <c:v>0</c:v>
                </c:pt>
                <c:pt idx="3">
                  <c:v>60</c:v>
                </c:pt>
                <c:pt idx="4">
                  <c:v>0</c:v>
                </c:pt>
                <c:pt idx="5">
                  <c:v>0</c:v>
                </c:pt>
                <c:pt idx="6">
                  <c:v>0</c:v>
                </c:pt>
                <c:pt idx="7">
                  <c:v>0</c:v>
                </c:pt>
                <c:pt idx="8">
                  <c:v>84</c:v>
                </c:pt>
                <c:pt idx="9">
                  <c:v>300</c:v>
                </c:pt>
                <c:pt idx="10">
                  <c:v>0</c:v>
                </c:pt>
                <c:pt idx="11">
                  <c:v>0</c:v>
                </c:pt>
                <c:pt idx="12">
                  <c:v>0</c:v>
                </c:pt>
                <c:pt idx="13">
                  <c:v>690</c:v>
                </c:pt>
                <c:pt idx="14">
                  <c:v>120</c:v>
                </c:pt>
                <c:pt idx="15">
                  <c:v>36</c:v>
                </c:pt>
                <c:pt idx="16">
                  <c:v>0</c:v>
                </c:pt>
                <c:pt idx="17">
                  <c:v>49</c:v>
                </c:pt>
                <c:pt idx="18">
                  <c:v>0</c:v>
                </c:pt>
                <c:pt idx="19">
                  <c:v>0</c:v>
                </c:pt>
                <c:pt idx="20">
                  <c:v>0</c:v>
                </c:pt>
                <c:pt idx="21">
                  <c:v>0</c:v>
                </c:pt>
                <c:pt idx="22">
                  <c:v>0</c:v>
                </c:pt>
                <c:pt idx="23">
                  <c:v>649</c:v>
                </c:pt>
              </c:numCache>
            </c:numRef>
          </c:val>
          <c:extLst>
            <c:ext xmlns:c16="http://schemas.microsoft.com/office/drawing/2014/chart" uri="{C3380CC4-5D6E-409C-BE32-E72D297353CC}">
              <c16:uniqueId val="{00000001-4A80-44CD-B81C-96C3E59BCDE5}"/>
            </c:ext>
          </c:extLst>
        </c:ser>
        <c:dLbls>
          <c:showLegendKey val="0"/>
          <c:showVal val="0"/>
          <c:showCatName val="0"/>
          <c:showSerName val="0"/>
          <c:showPercent val="0"/>
          <c:showBubbleSize val="0"/>
        </c:dLbls>
        <c:gapWidth val="60"/>
        <c:axId val="1456742096"/>
        <c:axId val="1443645264"/>
      </c:barChart>
      <c:catAx>
        <c:axId val="1456742096"/>
        <c:scaling>
          <c:orientation val="maxMin"/>
        </c:scaling>
        <c:delete val="0"/>
        <c:axPos val="l"/>
        <c:numFmt formatCode="General" sourceLinked="1"/>
        <c:majorTickMark val="out"/>
        <c:minorTickMark val="none"/>
        <c:tickLblPos val="nextTo"/>
        <c:txPr>
          <a:bodyPr/>
          <a:lstStyle/>
          <a:p>
            <a:pPr>
              <a:defRPr sz="600"/>
            </a:pPr>
            <a:endParaRPr lang="de-DE"/>
          </a:p>
        </c:txPr>
        <c:crossAx val="1443645264"/>
        <c:crosses val="autoZero"/>
        <c:auto val="1"/>
        <c:lblAlgn val="ctr"/>
        <c:lblOffset val="100"/>
        <c:noMultiLvlLbl val="0"/>
      </c:catAx>
      <c:valAx>
        <c:axId val="1443645264"/>
        <c:scaling>
          <c:orientation val="minMax"/>
        </c:scaling>
        <c:delete val="0"/>
        <c:axPos val="t"/>
        <c:majorGridlines/>
        <c:numFmt formatCode="#\ ##0.00\ &quot;€&quot;;\-#\ ##0.00\ &quot;€&quot;;&quot;–&quot;" sourceLinked="1"/>
        <c:majorTickMark val="out"/>
        <c:minorTickMark val="none"/>
        <c:tickLblPos val="nextTo"/>
        <c:txPr>
          <a:bodyPr/>
          <a:lstStyle/>
          <a:p>
            <a:pPr>
              <a:defRPr sz="700"/>
            </a:pPr>
            <a:endParaRPr lang="de-DE"/>
          </a:p>
        </c:txPr>
        <c:crossAx val="1456742096"/>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12700" cap="flat" cmpd="sng" algn="ctr">
      <a:noFill/>
      <a:prstDash val="solid"/>
      <a:round/>
    </a:ln>
    <a:effectLst/>
    <a:extLst>
      <a:ext uri="{91240B29-F687-4F45-9708-019B960494DF}">
        <a14:hiddenLine xmlns:a14="http://schemas.microsoft.com/office/drawing/2010/main" w="12700" cap="flat" cmpd="sng" algn="ctr">
          <a:solidFill>
            <a:sysClr val="windowText" lastClr="000000">
              <a:tint val="75000"/>
            </a:sysClr>
          </a:solidFill>
          <a:prstDash val="solid"/>
          <a:round/>
        </a14:hiddenLine>
      </a:ext>
    </a:extLst>
  </c:spPr>
  <c:txPr>
    <a:bodyPr/>
    <a:lstStyle/>
    <a:p>
      <a:pPr>
        <a:defRPr>
          <a:latin typeface="Arial"/>
          <a:ea typeface="Arial"/>
          <a:cs typeface="Arial"/>
        </a:defRPr>
      </a:pPr>
      <a:endParaRPr lang="de-DE"/>
    </a:p>
  </c:tx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5</xdr:col>
      <xdr:colOff>77788</xdr:colOff>
      <xdr:row>52</xdr:row>
      <xdr:rowOff>34925</xdr:rowOff>
    </xdr:to>
    <xdr:graphicFrame macro="">
      <xdr:nvGraphicFramePr>
        <xdr:cNvPr id="2" name="Diagramm 1">
          <a:extLst>
            <a:ext uri="{FF2B5EF4-FFF2-40B4-BE49-F238E27FC236}">
              <a16:creationId xmlns:a16="http://schemas.microsoft.com/office/drawing/2014/main" id="{D256CB92-3396-201B-12B6-D71C2E9F34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230188</xdr:colOff>
      <xdr:row>33</xdr:row>
      <xdr:rowOff>0</xdr:rowOff>
    </xdr:from>
    <xdr:to>
      <xdr:col>9</xdr:col>
      <xdr:colOff>889001</xdr:colOff>
      <xdr:row>52</xdr:row>
      <xdr:rowOff>34925</xdr:rowOff>
    </xdr:to>
    <xdr:graphicFrame macro="">
      <xdr:nvGraphicFramePr>
        <xdr:cNvPr id="3" name="Diagramm 2">
          <a:extLst>
            <a:ext uri="{FF2B5EF4-FFF2-40B4-BE49-F238E27FC236}">
              <a16:creationId xmlns:a16="http://schemas.microsoft.com/office/drawing/2014/main" id="{C95DFF62-AFAB-78D5-19B2-0D9A723B33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53</xdr:row>
      <xdr:rowOff>25400</xdr:rowOff>
    </xdr:from>
    <xdr:to>
      <xdr:col>5</xdr:col>
      <xdr:colOff>77788</xdr:colOff>
      <xdr:row>72</xdr:row>
      <xdr:rowOff>60325</xdr:rowOff>
    </xdr:to>
    <xdr:graphicFrame macro="">
      <xdr:nvGraphicFramePr>
        <xdr:cNvPr id="4" name="Diagramm 3">
          <a:extLst>
            <a:ext uri="{FF2B5EF4-FFF2-40B4-BE49-F238E27FC236}">
              <a16:creationId xmlns:a16="http://schemas.microsoft.com/office/drawing/2014/main" id="{388C6C16-1B65-87B9-31D4-565D43713B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230188</xdr:colOff>
      <xdr:row>53</xdr:row>
      <xdr:rowOff>25400</xdr:rowOff>
    </xdr:from>
    <xdr:to>
      <xdr:col>9</xdr:col>
      <xdr:colOff>889001</xdr:colOff>
      <xdr:row>72</xdr:row>
      <xdr:rowOff>60325</xdr:rowOff>
    </xdr:to>
    <xdr:graphicFrame macro="">
      <xdr:nvGraphicFramePr>
        <xdr:cNvPr id="5" name="Diagramm 4">
          <a:extLst>
            <a:ext uri="{FF2B5EF4-FFF2-40B4-BE49-F238E27FC236}">
              <a16:creationId xmlns:a16="http://schemas.microsoft.com/office/drawing/2014/main" id="{27F04C42-A5C2-3CCC-26B6-C80F67FEE2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2804F5-94D8-4DAE-89D8-A80534BE65B5}" name="tblJournal" displayName="tblJournal" ref="A4:H16" totalsRowShown="0" headerRowDxfId="18" dataDxfId="19">
  <autoFilter ref="A4:H16" xr:uid="{2B2804F5-94D8-4DAE-89D8-A80534BE65B5}"/>
  <tableColumns count="8">
    <tableColumn id="1" xr3:uid="{48FDFA0B-D412-4B78-8118-99F325B7B579}" name="Datum der Zahlung" dataDxfId="16"/>
    <tableColumn id="2" xr3:uid="{13F91D5C-21FB-4B30-82BF-74EBEEFFBC8F}" name="Beleg-Nr." dataDxfId="17"/>
    <tableColumn id="3" xr3:uid="{5D9CB241-9EAC-4F79-8E51-D8BB46FF650B}" name="Beschreibung" dataDxfId="20"/>
    <tableColumn id="4" xr3:uid="{87814B7D-EDCA-4FB8-B5F0-D1775A0AC1B6}" name="Kategorie" dataDxfId="15"/>
    <tableColumn id="5" xr3:uid="{F612A1F0-B550-4043-B7AD-2DD91CA13026}" name="Betrag" dataDxfId="14"/>
    <tableColumn id="6" xr3:uid="{960B4CCB-EBE5-479A-B579-E330E5558D30}" name="Art" dataDxfId="13">
      <calculatedColumnFormula>IFERROR(INDEX(KatArt,MATCH(tblJournal[[#This Row],[Kategorie]],KatName,0)),"")</calculatedColumnFormula>
    </tableColumn>
    <tableColumn id="7" xr3:uid="{99D3C4C4-81C6-45B7-A0CD-B904BB9899D2}" name="Kennzahl" dataDxfId="12">
      <calculatedColumnFormula>IFERROR(INDEX(KatKZ,MATCH(tblJournal[[#This Row],[Kategorie]],KatName,0)),"")</calculatedColumnFormula>
    </tableColumn>
    <tableColumn id="8" xr3:uid="{750F28F6-03A7-402F-8B6C-0646090CF408}" name="Monat" dataDxfId="11">
      <calculatedColumnFormula>IF(tblJournal[[#This Row],[Datum der Zahlung]]="","",IF(YEAR(tblJournal[[#This Row],[Datum der Zahlung]])=Steuerjahr,MONTH(tblJournal[[#This Row],[Datum der Zahlung]]),"anderes Jahr"))</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438848-FBB6-4015-AD6E-430AD24DA5FB}" name="tblAnlagen" displayName="tblAnlagen" ref="A4:H6" totalsRowShown="0" headerRowDxfId="8" dataDxfId="9">
  <autoFilter ref="A4:H6" xr:uid="{16438848-FBB6-4015-AD6E-430AD24DA5FB}"/>
  <tableColumns count="8">
    <tableColumn id="1" xr3:uid="{0C96D69F-EB1F-493C-89F2-BB11E55D3CFC}" name="Bezeichnung" dataDxfId="7"/>
    <tableColumn id="2" xr3:uid="{49CF0A7E-82FC-493C-A764-FB6C4EEA6BEA}" name="Anschaffung am" dataDxfId="6"/>
    <tableColumn id="3" xr3:uid="{7B20DAE4-5561-42E5-8179-610AFE4B6DCA}" name="Anschaffungskosten" dataDxfId="3"/>
    <tableColumn id="4" xr3:uid="{AC730481-6BF6-4F87-9C0F-95D4C5E9BDC0}" name="Nutzungsdauer (Jahre)" dataDxfId="2"/>
    <tableColumn id="5" xr3:uid="{C2345911-8817-4129-A8C4-74C87F0D905F}" name="Art" dataDxfId="0">
      <calculatedColumnFormula>IF(tblAnlagen[[#This Row],[Anschaffungskosten]]="","",IF(tblAnlagen[[#This Row],[Anschaffungskosten]]&lt;=GWG_Grenze,"GWG, sofort","Abschreibung"))</calculatedColumnFormula>
    </tableColumn>
    <tableColumn id="6" xr3:uid="{C622C261-3AFE-4095-921B-44021BEB05BE}" name="AfA bis Vorjahr" dataDxfId="1">
      <calculatedColumnFormula>IFERROR(IF(OR(tblAnlagen[[#This Row],[Anschaffung am]]="",tblAnlagen[[#This Row],[Anschaffungskosten]]=""),0,IF(tblAnlagen[[#This Row],[Anschaffungskosten]]&lt;=GWG_Grenze,IF(YEAR(tblAnlagen[[#This Row],[Anschaffung am]])&lt;Steuerjahr,tblAnlagen[[#This Row],[Anschaffungskosten]],0),IF(Steuerjahr&lt;=YEAR(tblAnlagen[[#This Row],[Anschaffung am]]),0,MIN(tblAnlagen[[#This Row],[Anschaffungskosten]],tblAnlagen[[#This Row],[Anschaffungskosten]]/tblAnlagen[[#This Row],[Nutzungsdauer (Jahre)]]*IF(MONTH(tblAnlagen[[#This Row],[Anschaffung am]])&lt;=6,1,0.5)+tblAnlagen[[#This Row],[Anschaffungskosten]]/tblAnlagen[[#This Row],[Nutzungsdauer (Jahre)]]*(Steuerjahr-YEAR(tblAnlagen[[#This Row],[Anschaffung am]])-1))))),0)</calculatedColumnFormula>
    </tableColumn>
    <tableColumn id="7" xr3:uid="{BE377C67-ABA4-4F15-BA48-1D46EDD87804}" name="AfA im Steuerjahr" dataDxfId="5">
      <calculatedColumnFormula>IFERROR(IF(OR(tblAnlagen[[#This Row],[Anschaffung am]]="",tblAnlagen[[#This Row],[Anschaffungskosten]]=""),0,IF(tblAnlagen[[#This Row],[Anschaffungskosten]]&lt;=GWG_Grenze,IF(YEAR(tblAnlagen[[#This Row],[Anschaffung am]])=Steuerjahr,tblAnlagen[[#This Row],[Anschaffungskosten]],0),IF(Steuerjahr&lt;YEAR(tblAnlagen[[#This Row],[Anschaffung am]]),0,ROUND(MIN(tblAnlagen[[#This Row],[Anschaffungskosten]]-tblAnlagen[[#This Row],[AfA bis Vorjahr]],tblAnlagen[[#This Row],[Anschaffungskosten]]/tblAnlagen[[#This Row],[Nutzungsdauer (Jahre)]]*IF(YEAR(tblAnlagen[[#This Row],[Anschaffung am]])=Steuerjahr,IF(MONTH(tblAnlagen[[#This Row],[Anschaffung am]])&lt;=6,1,0.5),1)),2)))),0)</calculatedColumnFormula>
    </tableColumn>
    <tableColumn id="8" xr3:uid="{DED63ED4-38A5-4D5C-87BE-5C791AE04855}" name="Restwert Jahresende" dataDxfId="4">
      <calculatedColumnFormula>IF(tblAnlagen[[#This Row],[Anschaffungskosten]]="","",tblAnlagen[[#This Row],[Anschaffungskosten]]-tblAnlagen[[#This Row],[AfA bis Vorjahr]]-tblAnlagen[[#This Row],[AfA im Steuerjahr]])</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167EF4-3BB4-48E5-A053-6F4690D9EA1B}" name="tblKat" displayName="tblKat" ref="A4:D31" totalsRowShown="0" headerRowDxfId="24" dataDxfId="25">
  <autoFilter ref="A4:D31" xr:uid="{A7167EF4-3BB4-48E5-A053-6F4690D9EA1B}"/>
  <tableColumns count="4">
    <tableColumn id="1" xr3:uid="{2CF8943F-6382-4202-8F9C-02025C74CCAD}" name="Kategorie" dataDxfId="26"/>
    <tableColumn id="2" xr3:uid="{E66A93EB-8FC9-4FF0-9DC6-749FCF94BF84}" name="Art" dataDxfId="23"/>
    <tableColumn id="3" xr3:uid="{8C95CE5B-5DF4-459E-8413-0888C68F4E73}" name="Kennzahl E1a" dataDxfId="21"/>
    <tableColumn id="4" xr3:uid="{2873983A-3A0C-4D4E-84C5-7F730A2D5EFB}" name="Was dazugehört" dataDxfId="22"/>
  </tableColumns>
  <tableStyleInfo name="TableStyleLight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6439-153A-43BC-8AC8-6D8C6E45E805}">
  <sheetPr>
    <tabColor rgb="FFEB8402"/>
    <pageSetUpPr fitToPage="1"/>
  </sheetPr>
  <dimension ref="A1:D25"/>
  <sheetViews>
    <sheetView tabSelected="1" workbookViewId="0">
      <selection activeCell="B7" sqref="B7"/>
    </sheetView>
  </sheetViews>
  <sheetFormatPr baseColWidth="10" defaultRowHeight="12.75" x14ac:dyDescent="0.2"/>
  <cols>
    <col min="1" max="1" width="34.7109375" style="1" customWidth="1"/>
    <col min="2" max="2" width="16.7109375" style="1" customWidth="1"/>
    <col min="3" max="3" width="24.7109375" style="1" customWidth="1"/>
    <col min="4" max="4" width="66.7109375" style="1" customWidth="1"/>
    <col min="5" max="16384" width="11.42578125" style="1"/>
  </cols>
  <sheetData>
    <row r="1" spans="1:4" ht="24" customHeight="1" x14ac:dyDescent="0.3">
      <c r="A1" s="2" t="s">
        <v>64</v>
      </c>
    </row>
    <row r="2" spans="1:4" x14ac:dyDescent="0.2">
      <c r="A2" s="3" t="s">
        <v>65</v>
      </c>
    </row>
    <row r="4" spans="1:4" ht="15.75" x14ac:dyDescent="0.25">
      <c r="A4" s="8" t="s">
        <v>66</v>
      </c>
    </row>
    <row r="5" spans="1:4" ht="27.95" customHeight="1" x14ac:dyDescent="0.2">
      <c r="A5" s="9" t="s">
        <v>67</v>
      </c>
      <c r="B5" s="9"/>
      <c r="C5" s="9"/>
      <c r="D5" s="9"/>
    </row>
    <row r="6" spans="1:4" x14ac:dyDescent="0.2">
      <c r="A6" s="4" t="s">
        <v>68</v>
      </c>
      <c r="B6" s="4" t="s">
        <v>69</v>
      </c>
      <c r="C6" s="4" t="s">
        <v>70</v>
      </c>
      <c r="D6" s="4" t="s">
        <v>71</v>
      </c>
    </row>
    <row r="7" spans="1:4" ht="38.25" x14ac:dyDescent="0.2">
      <c r="A7" s="11" t="s">
        <v>72</v>
      </c>
      <c r="B7" s="17">
        <v>2026</v>
      </c>
      <c r="C7" s="12" t="s">
        <v>73</v>
      </c>
      <c r="D7" s="12" t="s">
        <v>74</v>
      </c>
    </row>
    <row r="8" spans="1:4" ht="25.5" x14ac:dyDescent="0.2">
      <c r="A8" s="15" t="s">
        <v>75</v>
      </c>
      <c r="B8" s="18">
        <v>1000</v>
      </c>
      <c r="C8" s="16" t="s">
        <v>76</v>
      </c>
      <c r="D8" s="16" t="s">
        <v>77</v>
      </c>
    </row>
    <row r="9" spans="1:4" ht="25.5" x14ac:dyDescent="0.2">
      <c r="A9" s="15" t="s">
        <v>78</v>
      </c>
      <c r="B9" s="18">
        <v>33000</v>
      </c>
      <c r="C9" s="16" t="s">
        <v>76</v>
      </c>
      <c r="D9" s="16" t="s">
        <v>79</v>
      </c>
    </row>
    <row r="10" spans="1:4" ht="25.5" x14ac:dyDescent="0.2">
      <c r="A10" s="15" t="s">
        <v>80</v>
      </c>
      <c r="B10" s="19">
        <v>0.15</v>
      </c>
      <c r="C10" s="16" t="s">
        <v>76</v>
      </c>
      <c r="D10" s="16" t="s">
        <v>81</v>
      </c>
    </row>
    <row r="11" spans="1:4" ht="25.5" x14ac:dyDescent="0.2">
      <c r="A11" s="13" t="s">
        <v>82</v>
      </c>
      <c r="B11" s="20">
        <v>55000</v>
      </c>
      <c r="C11" s="14" t="s">
        <v>76</v>
      </c>
      <c r="D11" s="14" t="s">
        <v>83</v>
      </c>
    </row>
    <row r="13" spans="1:4" ht="15.75" x14ac:dyDescent="0.25">
      <c r="A13" s="8" t="s">
        <v>84</v>
      </c>
    </row>
    <row r="14" spans="1:4" ht="27.95" customHeight="1" x14ac:dyDescent="0.2">
      <c r="A14" s="21" t="s">
        <v>85</v>
      </c>
      <c r="B14" s="21"/>
      <c r="C14" s="21"/>
      <c r="D14" s="21"/>
    </row>
    <row r="15" spans="1:4" ht="27.95" customHeight="1" x14ac:dyDescent="0.2">
      <c r="A15" s="21" t="s">
        <v>86</v>
      </c>
      <c r="B15" s="21"/>
      <c r="C15" s="21"/>
      <c r="D15" s="21"/>
    </row>
    <row r="16" spans="1:4" ht="27.95" customHeight="1" x14ac:dyDescent="0.2">
      <c r="A16" s="21" t="s">
        <v>87</v>
      </c>
      <c r="B16" s="21"/>
      <c r="C16" s="21"/>
      <c r="D16" s="21"/>
    </row>
    <row r="17" spans="1:4" ht="27.95" customHeight="1" x14ac:dyDescent="0.2">
      <c r="A17" s="21" t="s">
        <v>88</v>
      </c>
      <c r="B17" s="21"/>
      <c r="C17" s="21"/>
      <c r="D17" s="21"/>
    </row>
    <row r="18" spans="1:4" ht="27.95" customHeight="1" x14ac:dyDescent="0.2">
      <c r="A18" s="21" t="s">
        <v>89</v>
      </c>
      <c r="B18" s="21"/>
      <c r="C18" s="21"/>
      <c r="D18" s="21"/>
    </row>
    <row r="19" spans="1:4" ht="27.95" customHeight="1" x14ac:dyDescent="0.2">
      <c r="A19" s="21" t="s">
        <v>90</v>
      </c>
      <c r="B19" s="21"/>
      <c r="C19" s="21"/>
      <c r="D19" s="21"/>
    </row>
    <row r="20" spans="1:4" ht="27.95" customHeight="1" x14ac:dyDescent="0.2">
      <c r="A20" s="21" t="s">
        <v>91</v>
      </c>
      <c r="B20" s="21"/>
      <c r="C20" s="21"/>
      <c r="D20" s="21"/>
    </row>
    <row r="21" spans="1:4" ht="27.95" customHeight="1" x14ac:dyDescent="0.2">
      <c r="A21" s="21" t="s">
        <v>92</v>
      </c>
      <c r="B21" s="21"/>
      <c r="C21" s="21"/>
      <c r="D21" s="21"/>
    </row>
    <row r="22" spans="1:4" ht="27.95" customHeight="1" x14ac:dyDescent="0.2">
      <c r="A22" s="22" t="s">
        <v>93</v>
      </c>
      <c r="B22" s="21"/>
      <c r="C22" s="21"/>
      <c r="D22" s="21"/>
    </row>
    <row r="24" spans="1:4" x14ac:dyDescent="0.2">
      <c r="A24" s="7" t="s">
        <v>94</v>
      </c>
    </row>
    <row r="25" spans="1:4" ht="54" customHeight="1" x14ac:dyDescent="0.2">
      <c r="A25" s="24" t="s">
        <v>95</v>
      </c>
      <c r="B25" s="21"/>
      <c r="C25" s="21"/>
      <c r="D25" s="21"/>
    </row>
  </sheetData>
  <mergeCells count="11">
    <mergeCell ref="A19:D19"/>
    <mergeCell ref="A20:D20"/>
    <mergeCell ref="A21:D21"/>
    <mergeCell ref="A22:D22"/>
    <mergeCell ref="A25:D25"/>
    <mergeCell ref="A5:D5"/>
    <mergeCell ref="A14:D14"/>
    <mergeCell ref="A15:D15"/>
    <mergeCell ref="A16:D16"/>
    <mergeCell ref="A17:D17"/>
    <mergeCell ref="A18:D18"/>
  </mergeCells>
  <dataValidations count="1">
    <dataValidation type="whole" allowBlank="1" showInputMessage="1" showErrorMessage="1" error="Bitte ein Jahr zwischen 2020 und 2100 eingeben." sqref="B7" xr:uid="{8A8A1ACF-992E-464D-A3BC-951D84DE6603}">
      <formula1>2020</formula1>
      <formula2>2100</formula2>
    </dataValidation>
  </dataValidations>
  <printOptions horizontalCentered="1"/>
  <pageMargins left="0.59055118110236215" right="0.59055118110236215" top="0.59055118110236215" bottom="0.70866141732283472" header="0.23622047244094485" footer="0.23622047244094485"/>
  <pageSetup paperSize="9" scale="64" orientation="portrait" horizontalDpi="300" verticalDpi="300" r:id="rId1"/>
  <headerFooter>
    <oddFooter>&amp;Cfinanzgeier.at  ·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5D093-B63D-4667-8EF4-BACC2C7F3A9E}">
  <sheetPr>
    <tabColor rgb="FFEB8402"/>
    <pageSetUpPr fitToPage="1"/>
  </sheetPr>
  <dimension ref="A1:H16"/>
  <sheetViews>
    <sheetView workbookViewId="0">
      <pane ySplit="4" topLeftCell="A5" activePane="bottomLeft" state="frozenSplit"/>
      <selection pane="bottomLeft"/>
    </sheetView>
  </sheetViews>
  <sheetFormatPr baseColWidth="10" defaultRowHeight="12.75" x14ac:dyDescent="0.2"/>
  <cols>
    <col min="1" max="1" width="13.7109375" style="1" customWidth="1"/>
    <col min="2" max="2" width="10.7109375" style="1" customWidth="1"/>
    <col min="3" max="3" width="46.7109375" style="1" customWidth="1"/>
    <col min="4" max="4" width="34.7109375" style="1" customWidth="1"/>
    <col min="5" max="5" width="14.7109375" style="1" customWidth="1"/>
    <col min="6" max="7" width="10.7109375" style="5" customWidth="1"/>
    <col min="8" max="8" width="12.7109375" style="5" customWidth="1"/>
    <col min="9" max="16384" width="11.42578125" style="1"/>
  </cols>
  <sheetData>
    <row r="1" spans="1:8" ht="24" customHeight="1" x14ac:dyDescent="0.3">
      <c r="A1" s="2" t="s">
        <v>96</v>
      </c>
    </row>
    <row r="2" spans="1:8" x14ac:dyDescent="0.2">
      <c r="A2" s="3" t="s">
        <v>97</v>
      </c>
    </row>
    <row r="4" spans="1:8" ht="25.5" x14ac:dyDescent="0.2">
      <c r="A4" s="4" t="s">
        <v>98</v>
      </c>
      <c r="B4" s="4" t="s">
        <v>99</v>
      </c>
      <c r="C4" s="4" t="s">
        <v>100</v>
      </c>
      <c r="D4" s="4" t="s">
        <v>2</v>
      </c>
      <c r="E4" s="4" t="s">
        <v>101</v>
      </c>
      <c r="F4" s="28" t="s">
        <v>3</v>
      </c>
      <c r="G4" s="28" t="s">
        <v>102</v>
      </c>
      <c r="H4" s="28" t="s">
        <v>103</v>
      </c>
    </row>
    <row r="5" spans="1:8" x14ac:dyDescent="0.2">
      <c r="A5" s="26">
        <v>46037</v>
      </c>
      <c r="B5" s="1" t="s">
        <v>104</v>
      </c>
      <c r="C5" s="1" t="s">
        <v>105</v>
      </c>
      <c r="D5" s="1" t="s">
        <v>6</v>
      </c>
      <c r="E5" s="27">
        <v>2400</v>
      </c>
      <c r="F5" s="5" t="str">
        <f>IFERROR(INDEX(KatArt,MATCH(tblJournal[[#This Row],[Kategorie]],KatName,0)),"")</f>
        <v>Einnahme</v>
      </c>
      <c r="G5" s="5">
        <f>IFERROR(INDEX(KatKZ,MATCH(tblJournal[[#This Row],[Kategorie]],KatName,0)),"")</f>
        <v>9040</v>
      </c>
      <c r="H5" s="5">
        <f>IF(tblJournal[[#This Row],[Datum der Zahlung]]="","",IF(YEAR(tblJournal[[#This Row],[Datum der Zahlung]])=Steuerjahr,MONTH(tblJournal[[#This Row],[Datum der Zahlung]]),"anderes Jahr"))</f>
        <v>1</v>
      </c>
    </row>
    <row r="6" spans="1:8" x14ac:dyDescent="0.2">
      <c r="A6" s="26">
        <v>46042</v>
      </c>
      <c r="B6" s="1" t="s">
        <v>106</v>
      </c>
      <c r="C6" s="1" t="s">
        <v>107</v>
      </c>
      <c r="D6" s="1" t="s">
        <v>46</v>
      </c>
      <c r="E6" s="27">
        <v>36</v>
      </c>
      <c r="F6" s="5" t="str">
        <f>IFERROR(INDEX(KatArt,MATCH(tblJournal[[#This Row],[Kategorie]],KatName,0)),"")</f>
        <v>Ausgabe</v>
      </c>
      <c r="G6" s="5">
        <f>IFERROR(INDEX(KatKZ,MATCH(tblJournal[[#This Row],[Kategorie]],KatName,0)),"")</f>
        <v>9230</v>
      </c>
      <c r="H6" s="5">
        <f>IF(tblJournal[[#This Row],[Datum der Zahlung]]="","",IF(YEAR(tblJournal[[#This Row],[Datum der Zahlung]])=Steuerjahr,MONTH(tblJournal[[#This Row],[Datum der Zahlung]]),"anderes Jahr"))</f>
        <v>1</v>
      </c>
    </row>
    <row r="7" spans="1:8" x14ac:dyDescent="0.2">
      <c r="A7" s="26">
        <v>46056</v>
      </c>
      <c r="B7" s="1" t="s">
        <v>108</v>
      </c>
      <c r="C7" s="1" t="s">
        <v>109</v>
      </c>
      <c r="D7" s="1" t="s">
        <v>42</v>
      </c>
      <c r="E7" s="27">
        <v>690</v>
      </c>
      <c r="F7" s="5" t="str">
        <f>IFERROR(INDEX(KatArt,MATCH(tblJournal[[#This Row],[Kategorie]],KatName,0)),"")</f>
        <v>Ausgabe</v>
      </c>
      <c r="G7" s="5">
        <f>IFERROR(INDEX(KatKZ,MATCH(tblJournal[[#This Row],[Kategorie]],KatName,0)),"")</f>
        <v>9225</v>
      </c>
      <c r="H7" s="5">
        <f>IF(tblJournal[[#This Row],[Datum der Zahlung]]="","",IF(YEAR(tblJournal[[#This Row],[Datum der Zahlung]])=Steuerjahr,MONTH(tblJournal[[#This Row],[Datum der Zahlung]]),"anderes Jahr"))</f>
        <v>2</v>
      </c>
    </row>
    <row r="8" spans="1:8" x14ac:dyDescent="0.2">
      <c r="A8" s="26">
        <v>46081</v>
      </c>
      <c r="B8" s="1" t="s">
        <v>110</v>
      </c>
      <c r="C8" s="1" t="s">
        <v>111</v>
      </c>
      <c r="D8" s="1" t="s">
        <v>6</v>
      </c>
      <c r="E8" s="27">
        <v>1200</v>
      </c>
      <c r="F8" s="5" t="str">
        <f>IFERROR(INDEX(KatArt,MATCH(tblJournal[[#This Row],[Kategorie]],KatName,0)),"")</f>
        <v>Einnahme</v>
      </c>
      <c r="G8" s="5">
        <f>IFERROR(INDEX(KatKZ,MATCH(tblJournal[[#This Row],[Kategorie]],KatName,0)),"")</f>
        <v>9040</v>
      </c>
      <c r="H8" s="5">
        <f>IF(tblJournal[[#This Row],[Datum der Zahlung]]="","",IF(YEAR(tblJournal[[#This Row],[Datum der Zahlung]])=Steuerjahr,MONTH(tblJournal[[#This Row],[Datum der Zahlung]]),"anderes Jahr"))</f>
        <v>2</v>
      </c>
    </row>
    <row r="9" spans="1:8" x14ac:dyDescent="0.2">
      <c r="A9" s="26">
        <v>46091</v>
      </c>
      <c r="B9" s="1" t="s">
        <v>112</v>
      </c>
      <c r="C9" s="1" t="s">
        <v>113</v>
      </c>
      <c r="D9" s="1" t="s">
        <v>32</v>
      </c>
      <c r="E9" s="27">
        <v>84</v>
      </c>
      <c r="F9" s="5" t="str">
        <f>IFERROR(INDEX(KatArt,MATCH(tblJournal[[#This Row],[Kategorie]],KatName,0)),"")</f>
        <v>Ausgabe</v>
      </c>
      <c r="G9" s="5">
        <f>IFERROR(INDEX(KatKZ,MATCH(tblJournal[[#This Row],[Kategorie]],KatName,0)),"")</f>
        <v>9200</v>
      </c>
      <c r="H9" s="5">
        <f>IF(tblJournal[[#This Row],[Datum der Zahlung]]="","",IF(YEAR(tblJournal[[#This Row],[Datum der Zahlung]])=Steuerjahr,MONTH(tblJournal[[#This Row],[Datum der Zahlung]]),"anderes Jahr"))</f>
        <v>3</v>
      </c>
    </row>
    <row r="10" spans="1:8" x14ac:dyDescent="0.2">
      <c r="A10" s="26">
        <v>46112</v>
      </c>
      <c r="B10" s="1" t="s">
        <v>114</v>
      </c>
      <c r="C10" s="1" t="s">
        <v>115</v>
      </c>
      <c r="D10" s="1" t="s">
        <v>44</v>
      </c>
      <c r="E10" s="27">
        <v>120</v>
      </c>
      <c r="F10" s="5" t="str">
        <f>IFERROR(INDEX(KatArt,MATCH(tblJournal[[#This Row],[Kategorie]],KatName,0)),"")</f>
        <v>Ausgabe</v>
      </c>
      <c r="G10" s="5">
        <f>IFERROR(INDEX(KatKZ,MATCH(tblJournal[[#This Row],[Kategorie]],KatName,0)),"")</f>
        <v>9230</v>
      </c>
      <c r="H10" s="5">
        <f>IF(tblJournal[[#This Row],[Datum der Zahlung]]="","",IF(YEAR(tblJournal[[#This Row],[Datum der Zahlung]])=Steuerjahr,MONTH(tblJournal[[#This Row],[Datum der Zahlung]]),"anderes Jahr"))</f>
        <v>3</v>
      </c>
    </row>
    <row r="11" spans="1:8" x14ac:dyDescent="0.2">
      <c r="A11" s="26">
        <v>46126</v>
      </c>
      <c r="B11" s="1" t="s">
        <v>116</v>
      </c>
      <c r="C11" s="1" t="s">
        <v>117</v>
      </c>
      <c r="D11" s="1" t="s">
        <v>6</v>
      </c>
      <c r="E11" s="27">
        <v>900</v>
      </c>
      <c r="F11" s="5" t="str">
        <f>IFERROR(INDEX(KatArt,MATCH(tblJournal[[#This Row],[Kategorie]],KatName,0)),"")</f>
        <v>Einnahme</v>
      </c>
      <c r="G11" s="5">
        <f>IFERROR(INDEX(KatKZ,MATCH(tblJournal[[#This Row],[Kategorie]],KatName,0)),"")</f>
        <v>9040</v>
      </c>
      <c r="H11" s="5">
        <f>IF(tblJournal[[#This Row],[Datum der Zahlung]]="","",IF(YEAR(tblJournal[[#This Row],[Datum der Zahlung]])=Steuerjahr,MONTH(tblJournal[[#This Row],[Datum der Zahlung]]),"anderes Jahr"))</f>
        <v>4</v>
      </c>
    </row>
    <row r="12" spans="1:8" x14ac:dyDescent="0.2">
      <c r="A12" s="26">
        <v>46148</v>
      </c>
      <c r="B12" s="1" t="s">
        <v>118</v>
      </c>
      <c r="C12" s="1" t="s">
        <v>119</v>
      </c>
      <c r="D12" s="1" t="s">
        <v>22</v>
      </c>
      <c r="E12" s="27">
        <v>60</v>
      </c>
      <c r="F12" s="5" t="str">
        <f>IFERROR(INDEX(KatArt,MATCH(tblJournal[[#This Row],[Kategorie]],KatName,0)),"")</f>
        <v>Ausgabe</v>
      </c>
      <c r="G12" s="5">
        <f>IFERROR(INDEX(KatKZ,MATCH(tblJournal[[#This Row],[Kategorie]],KatName,0)),"")</f>
        <v>9160</v>
      </c>
      <c r="H12" s="5">
        <f>IF(tblJournal[[#This Row],[Datum der Zahlung]]="","",IF(YEAR(tblJournal[[#This Row],[Datum der Zahlung]])=Steuerjahr,MONTH(tblJournal[[#This Row],[Datum der Zahlung]]),"anderes Jahr"))</f>
        <v>5</v>
      </c>
    </row>
    <row r="13" spans="1:8" x14ac:dyDescent="0.2">
      <c r="A13" s="26">
        <v>46203</v>
      </c>
      <c r="B13" s="1" t="s">
        <v>120</v>
      </c>
      <c r="C13" s="1" t="s">
        <v>121</v>
      </c>
      <c r="D13" s="1" t="s">
        <v>6</v>
      </c>
      <c r="E13" s="27">
        <v>3600</v>
      </c>
      <c r="F13" s="5" t="str">
        <f>IFERROR(INDEX(KatArt,MATCH(tblJournal[[#This Row],[Kategorie]],KatName,0)),"")</f>
        <v>Einnahme</v>
      </c>
      <c r="G13" s="5">
        <f>IFERROR(INDEX(KatKZ,MATCH(tblJournal[[#This Row],[Kategorie]],KatName,0)),"")</f>
        <v>9040</v>
      </c>
      <c r="H13" s="5">
        <f>IF(tblJournal[[#This Row],[Datum der Zahlung]]="","",IF(YEAR(tblJournal[[#This Row],[Datum der Zahlung]])=Steuerjahr,MONTH(tblJournal[[#This Row],[Datum der Zahlung]]),"anderes Jahr"))</f>
        <v>6</v>
      </c>
    </row>
    <row r="14" spans="1:8" x14ac:dyDescent="0.2">
      <c r="A14" s="26">
        <v>46280</v>
      </c>
      <c r="B14" s="1" t="s">
        <v>122</v>
      </c>
      <c r="C14" s="1" t="s">
        <v>123</v>
      </c>
      <c r="D14" s="1" t="s">
        <v>50</v>
      </c>
      <c r="E14" s="27">
        <v>49</v>
      </c>
      <c r="F14" s="5" t="str">
        <f>IFERROR(INDEX(KatArt,MATCH(tblJournal[[#This Row],[Kategorie]],KatName,0)),"")</f>
        <v>Ausgabe</v>
      </c>
      <c r="G14" s="5">
        <f>IFERROR(INDEX(KatKZ,MATCH(tblJournal[[#This Row],[Kategorie]],KatName,0)),"")</f>
        <v>9230</v>
      </c>
      <c r="H14" s="5">
        <f>IF(tblJournal[[#This Row],[Datum der Zahlung]]="","",IF(YEAR(tblJournal[[#This Row],[Datum der Zahlung]])=Steuerjahr,MONTH(tblJournal[[#This Row],[Datum der Zahlung]]),"anderes Jahr"))</f>
        <v>9</v>
      </c>
    </row>
    <row r="15" spans="1:8" x14ac:dyDescent="0.2">
      <c r="A15" s="26">
        <v>46346</v>
      </c>
      <c r="B15" s="1" t="s">
        <v>124</v>
      </c>
      <c r="C15" s="1" t="s">
        <v>125</v>
      </c>
      <c r="D15" s="1" t="s">
        <v>6</v>
      </c>
      <c r="E15" s="27">
        <v>4800</v>
      </c>
      <c r="F15" s="5" t="str">
        <f>IFERROR(INDEX(KatArt,MATCH(tblJournal[[#This Row],[Kategorie]],KatName,0)),"")</f>
        <v>Einnahme</v>
      </c>
      <c r="G15" s="5">
        <f>IFERROR(INDEX(KatKZ,MATCH(tblJournal[[#This Row],[Kategorie]],KatName,0)),"")</f>
        <v>9040</v>
      </c>
      <c r="H15" s="5">
        <f>IF(tblJournal[[#This Row],[Datum der Zahlung]]="","",IF(YEAR(tblJournal[[#This Row],[Datum der Zahlung]])=Steuerjahr,MONTH(tblJournal[[#This Row],[Datum der Zahlung]]),"anderes Jahr"))</f>
        <v>11</v>
      </c>
    </row>
    <row r="16" spans="1:8" x14ac:dyDescent="0.2">
      <c r="A16" s="26">
        <v>46387</v>
      </c>
      <c r="B16" s="1" t="s">
        <v>126</v>
      </c>
      <c r="C16" s="1" t="s">
        <v>127</v>
      </c>
      <c r="D16" s="1" t="s">
        <v>34</v>
      </c>
      <c r="E16" s="27">
        <v>300</v>
      </c>
      <c r="F16" s="5" t="str">
        <f>IFERROR(INDEX(KatArt,MATCH(tblJournal[[#This Row],[Kategorie]],KatName,0)),"")</f>
        <v>Ausgabe</v>
      </c>
      <c r="G16" s="5">
        <f>IFERROR(INDEX(KatKZ,MATCH(tblJournal[[#This Row],[Kategorie]],KatName,0)),"")</f>
        <v>9215</v>
      </c>
      <c r="H16" s="5">
        <f>IF(tblJournal[[#This Row],[Datum der Zahlung]]="","",IF(YEAR(tblJournal[[#This Row],[Datum der Zahlung]])=Steuerjahr,MONTH(tblJournal[[#This Row],[Datum der Zahlung]]),"anderes Jahr"))</f>
        <v>12</v>
      </c>
    </row>
  </sheetData>
  <conditionalFormatting sqref="A5:A2000">
    <cfRule type="expression" dxfId="10" priority="1" stopIfTrue="1">
      <formula>AND($A5&lt;&gt;"",YEAR($A5)&lt;&gt;Steuerjahr)</formula>
    </cfRule>
  </conditionalFormatting>
  <dataValidations count="3">
    <dataValidation type="list" allowBlank="1" showInputMessage="1" showErrorMessage="1" error="Bitte eine Kategorie aus der Liste wählen (Blatt „Kategorien“)." sqref="D5:D2000" xr:uid="{53C2D444-E1EC-4C22-9A40-C771F2C74F32}">
      <formula1>KatName</formula1>
    </dataValidation>
    <dataValidation type="date" allowBlank="1" showInputMessage="1" showErrorMessage="1" error="Bitte ein Datum eingeben, z. B. 15.03.2026." sqref="A5:A2000" xr:uid="{2EB6C0BB-7E78-4DF7-B49A-B716FAE40A2E}">
      <formula1>36526</formula1>
      <formula2>73415</formula2>
    </dataValidation>
    <dataValidation type="decimal" allowBlank="1" showInputMessage="1" showErrorMessage="1" error="Bitte den Betrag als positive Zahl eingeben, ohne Minus. Ob Einnahme oder Ausgabe, ergibt sich aus der Kategorie." sqref="E5:E2000" xr:uid="{F4D4F8DC-7BD4-466C-B802-C0F9F96E66B0}">
      <formula1>0</formula1>
      <formula2>10000000</formula2>
    </dataValidation>
  </dataValidations>
  <printOptions horizontalCentered="1"/>
  <pageMargins left="0.59055118110236215" right="0.59055118110236215" top="0.59055118110236215" bottom="0.70866141732283472" header="0.23622047244094485" footer="0.23622047244094485"/>
  <pageSetup paperSize="9" scale="88" fitToHeight="0" orientation="landscape" horizontalDpi="300" verticalDpi="300" r:id="rId1"/>
  <headerFooter>
    <oddFooter>&amp;Cfinanzgeier.at  ·  Seite &amp;P von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9108-0AEF-4A7D-9D78-9EE14F7DAD7E}">
  <sheetPr>
    <tabColor rgb="FFEB8402"/>
    <pageSetUpPr fitToPage="1"/>
  </sheetPr>
  <dimension ref="A1:H10"/>
  <sheetViews>
    <sheetView workbookViewId="0"/>
  </sheetViews>
  <sheetFormatPr baseColWidth="10" defaultRowHeight="12.75" x14ac:dyDescent="0.2"/>
  <cols>
    <col min="1" max="1" width="34.7109375" style="1" customWidth="1"/>
    <col min="2" max="2" width="14.7109375" style="1" customWidth="1"/>
    <col min="3" max="3" width="17.7109375" style="1" customWidth="1"/>
    <col min="4" max="5" width="14.7109375" style="5" customWidth="1"/>
    <col min="6" max="6" width="15.7109375" style="1" customWidth="1"/>
    <col min="7" max="7" width="16.7109375" style="1" customWidth="1"/>
    <col min="8" max="8" width="17.7109375" style="1" customWidth="1"/>
    <col min="9" max="16384" width="11.42578125" style="1"/>
  </cols>
  <sheetData>
    <row r="1" spans="1:8" ht="24" customHeight="1" x14ac:dyDescent="0.3">
      <c r="A1" s="2" t="s">
        <v>128</v>
      </c>
    </row>
    <row r="2" spans="1:8" x14ac:dyDescent="0.2">
      <c r="A2" s="3" t="s">
        <v>129</v>
      </c>
    </row>
    <row r="4" spans="1:8" ht="25.5" x14ac:dyDescent="0.2">
      <c r="A4" s="4" t="s">
        <v>130</v>
      </c>
      <c r="B4" s="4" t="s">
        <v>131</v>
      </c>
      <c r="C4" s="4" t="s">
        <v>132</v>
      </c>
      <c r="D4" s="6" t="s">
        <v>133</v>
      </c>
      <c r="E4" s="28" t="s">
        <v>3</v>
      </c>
      <c r="F4" s="25" t="s">
        <v>134</v>
      </c>
      <c r="G4" s="25" t="s">
        <v>135</v>
      </c>
      <c r="H4" s="25" t="s">
        <v>136</v>
      </c>
    </row>
    <row r="5" spans="1:8" x14ac:dyDescent="0.2">
      <c r="A5" s="1" t="s">
        <v>137</v>
      </c>
      <c r="B5" s="26">
        <v>46310</v>
      </c>
      <c r="C5" s="27">
        <v>2400</v>
      </c>
      <c r="D5" s="5">
        <v>4</v>
      </c>
      <c r="E5" s="5" t="str">
        <f>IF(tblAnlagen[[#This Row],[Anschaffungskosten]]="","",IF(tblAnlagen[[#This Row],[Anschaffungskosten]]&lt;=GWG_Grenze,"GWG, sofort","Abschreibung"))</f>
        <v>Abschreibung</v>
      </c>
      <c r="F5" s="27">
        <f>IFERROR(IF(OR(tblAnlagen[[#This Row],[Anschaffung am]]="",tblAnlagen[[#This Row],[Anschaffungskosten]]=""),0,IF(tblAnlagen[[#This Row],[Anschaffungskosten]]&lt;=GWG_Grenze,IF(YEAR(tblAnlagen[[#This Row],[Anschaffung am]])&lt;Steuerjahr,tblAnlagen[[#This Row],[Anschaffungskosten]],0),IF(Steuerjahr&lt;=YEAR(tblAnlagen[[#This Row],[Anschaffung am]]),0,MIN(tblAnlagen[[#This Row],[Anschaffungskosten]],tblAnlagen[[#This Row],[Anschaffungskosten]]/tblAnlagen[[#This Row],[Nutzungsdauer (Jahre)]]*IF(MONTH(tblAnlagen[[#This Row],[Anschaffung am]])&lt;=6,1,0.5)+tblAnlagen[[#This Row],[Anschaffungskosten]]/tblAnlagen[[#This Row],[Nutzungsdauer (Jahre)]]*(Steuerjahr-YEAR(tblAnlagen[[#This Row],[Anschaffung am]])-1))))),0)</f>
        <v>0</v>
      </c>
      <c r="G5" s="27">
        <f>IFERROR(IF(OR(tblAnlagen[[#This Row],[Anschaffung am]]="",tblAnlagen[[#This Row],[Anschaffungskosten]]=""),0,IF(tblAnlagen[[#This Row],[Anschaffungskosten]]&lt;=GWG_Grenze,IF(YEAR(tblAnlagen[[#This Row],[Anschaffung am]])=Steuerjahr,tblAnlagen[[#This Row],[Anschaffungskosten]],0),IF(Steuerjahr&lt;YEAR(tblAnlagen[[#This Row],[Anschaffung am]]),0,ROUND(MIN(tblAnlagen[[#This Row],[Anschaffungskosten]]-tblAnlagen[[#This Row],[AfA bis Vorjahr]],tblAnlagen[[#This Row],[Anschaffungskosten]]/tblAnlagen[[#This Row],[Nutzungsdauer (Jahre)]]*IF(YEAR(tblAnlagen[[#This Row],[Anschaffung am]])=Steuerjahr,IF(MONTH(tblAnlagen[[#This Row],[Anschaffung am]])&lt;=6,1,0.5),1)),2)))),0)</f>
        <v>300</v>
      </c>
      <c r="H5" s="27">
        <f>IF(tblAnlagen[[#This Row],[Anschaffungskosten]]="","",tblAnlagen[[#This Row],[Anschaffungskosten]]-tblAnlagen[[#This Row],[AfA bis Vorjahr]]-tblAnlagen[[#This Row],[AfA im Steuerjahr]])</f>
        <v>2100</v>
      </c>
    </row>
    <row r="6" spans="1:8" x14ac:dyDescent="0.2">
      <c r="A6" s="1" t="s">
        <v>138</v>
      </c>
      <c r="B6" s="26">
        <v>46083</v>
      </c>
      <c r="C6" s="27">
        <v>349</v>
      </c>
      <c r="E6" s="5" t="str">
        <f>IF(tblAnlagen[[#This Row],[Anschaffungskosten]]="","",IF(tblAnlagen[[#This Row],[Anschaffungskosten]]&lt;=GWG_Grenze,"GWG, sofort","Abschreibung"))</f>
        <v>GWG, sofort</v>
      </c>
      <c r="F6" s="27">
        <f>IFERROR(IF(OR(tblAnlagen[[#This Row],[Anschaffung am]]="",tblAnlagen[[#This Row],[Anschaffungskosten]]=""),0,IF(tblAnlagen[[#This Row],[Anschaffungskosten]]&lt;=GWG_Grenze,IF(YEAR(tblAnlagen[[#This Row],[Anschaffung am]])&lt;Steuerjahr,tblAnlagen[[#This Row],[Anschaffungskosten]],0),IF(Steuerjahr&lt;=YEAR(tblAnlagen[[#This Row],[Anschaffung am]]),0,MIN(tblAnlagen[[#This Row],[Anschaffungskosten]],tblAnlagen[[#This Row],[Anschaffungskosten]]/tblAnlagen[[#This Row],[Nutzungsdauer (Jahre)]]*IF(MONTH(tblAnlagen[[#This Row],[Anschaffung am]])&lt;=6,1,0.5)+tblAnlagen[[#This Row],[Anschaffungskosten]]/tblAnlagen[[#This Row],[Nutzungsdauer (Jahre)]]*(Steuerjahr-YEAR(tblAnlagen[[#This Row],[Anschaffung am]])-1))))),0)</f>
        <v>0</v>
      </c>
      <c r="G6" s="27">
        <f>IFERROR(IF(OR(tblAnlagen[[#This Row],[Anschaffung am]]="",tblAnlagen[[#This Row],[Anschaffungskosten]]=""),0,IF(tblAnlagen[[#This Row],[Anschaffungskosten]]&lt;=GWG_Grenze,IF(YEAR(tblAnlagen[[#This Row],[Anschaffung am]])=Steuerjahr,tblAnlagen[[#This Row],[Anschaffungskosten]],0),IF(Steuerjahr&lt;YEAR(tblAnlagen[[#This Row],[Anschaffung am]]),0,ROUND(MIN(tblAnlagen[[#This Row],[Anschaffungskosten]]-tblAnlagen[[#This Row],[AfA bis Vorjahr]],tblAnlagen[[#This Row],[Anschaffungskosten]]/tblAnlagen[[#This Row],[Nutzungsdauer (Jahre)]]*IF(YEAR(tblAnlagen[[#This Row],[Anschaffung am]])=Steuerjahr,IF(MONTH(tblAnlagen[[#This Row],[Anschaffung am]])&lt;=6,1,0.5),1)),2)))),0)</f>
        <v>349</v>
      </c>
      <c r="H6" s="27">
        <f>IF(tblAnlagen[[#This Row],[Anschaffungskosten]]="","",tblAnlagen[[#This Row],[Anschaffungskosten]]-tblAnlagen[[#This Row],[AfA bis Vorjahr]]-tblAnlagen[[#This Row],[AfA im Steuerjahr]])</f>
        <v>0</v>
      </c>
    </row>
    <row r="9" spans="1:8" x14ac:dyDescent="0.2">
      <c r="A9" s="3" t="s">
        <v>139</v>
      </c>
    </row>
    <row r="10" spans="1:8" x14ac:dyDescent="0.2">
      <c r="A10" s="7" t="s">
        <v>140</v>
      </c>
      <c r="G10" s="29">
        <f>SUM(tblAnlagen[AfA im Steuerjahr])</f>
        <v>649</v>
      </c>
    </row>
  </sheetData>
  <printOptions horizontalCentered="1"/>
  <pageMargins left="0.59055118110236215" right="0.59055118110236215" top="0.59055118110236215" bottom="0.70866141732283472" header="0.23622047244094485" footer="0.23622047244094485"/>
  <pageSetup paperSize="9" scale="93" orientation="landscape" horizontalDpi="300" verticalDpi="300" r:id="rId1"/>
  <headerFooter>
    <oddFooter>&amp;Cfinanzgeier.at  ·  Seite &amp;P von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55766-A57C-4BFD-80CE-F426D484C3F7}">
  <sheetPr>
    <tabColor rgb="FFEB8402"/>
    <pageSetUpPr fitToPage="1"/>
  </sheetPr>
  <dimension ref="A1:C38"/>
  <sheetViews>
    <sheetView workbookViewId="0"/>
  </sheetViews>
  <sheetFormatPr baseColWidth="10" defaultRowHeight="12.75" x14ac:dyDescent="0.2"/>
  <cols>
    <col min="1" max="1" width="11.7109375" style="1" customWidth="1"/>
    <col min="2" max="2" width="62.7109375" style="1" customWidth="1"/>
    <col min="3" max="3" width="17.7109375" style="1" customWidth="1"/>
    <col min="4" max="16384" width="11.42578125" style="1"/>
  </cols>
  <sheetData>
    <row r="1" spans="1:3" ht="24" customHeight="1" x14ac:dyDescent="0.3">
      <c r="A1" s="2" t="s">
        <v>141</v>
      </c>
    </row>
    <row r="2" spans="1:3" x14ac:dyDescent="0.2">
      <c r="A2" s="3" t="s">
        <v>142</v>
      </c>
    </row>
    <row r="4" spans="1:3" x14ac:dyDescent="0.2">
      <c r="A4" s="7" t="str">
        <f>"Steuerjahr "&amp;Steuerjahr&amp;"  ·  Kleinunternehmer, ohne Umsatzsteuer"</f>
        <v>Steuerjahr 2026  ·  Kleinunternehmer, ohne Umsatzsteuer</v>
      </c>
    </row>
    <row r="6" spans="1:3" x14ac:dyDescent="0.2">
      <c r="A6" s="4" t="s">
        <v>102</v>
      </c>
      <c r="B6" s="4" t="s">
        <v>143</v>
      </c>
      <c r="C6" s="4" t="s">
        <v>101</v>
      </c>
    </row>
    <row r="7" spans="1:3" x14ac:dyDescent="0.2">
      <c r="A7" s="33" t="s">
        <v>144</v>
      </c>
      <c r="B7" s="10"/>
      <c r="C7" s="31"/>
    </row>
    <row r="8" spans="1:3" x14ac:dyDescent="0.2">
      <c r="A8" s="5">
        <v>9040</v>
      </c>
      <c r="B8" s="1" t="s">
        <v>145</v>
      </c>
      <c r="C8" s="27">
        <f>SUMIFS(tblJournal[Betrag],tblJournal[Kennzahl],A8,tblJournal[Monat],"&gt;=1",tblJournal[Monat],"&lt;=12")</f>
        <v>12900</v>
      </c>
    </row>
    <row r="9" spans="1:3" x14ac:dyDescent="0.2">
      <c r="A9" s="5">
        <v>9050</v>
      </c>
      <c r="B9" s="1" t="s">
        <v>146</v>
      </c>
      <c r="C9" s="27">
        <f>SUMIFS(tblJournal[Betrag],tblJournal[Kennzahl],A9,tblJournal[Monat],"&gt;=1",tblJournal[Monat],"&lt;=12")</f>
        <v>0</v>
      </c>
    </row>
    <row r="10" spans="1:3" x14ac:dyDescent="0.2">
      <c r="A10" s="5">
        <v>9060</v>
      </c>
      <c r="B10" s="1" t="s">
        <v>147</v>
      </c>
      <c r="C10" s="27">
        <f>SUMIFS(tblJournal[Betrag],tblJournal[Kennzahl],A10,tblJournal[Monat],"&gt;=1",tblJournal[Monat],"&lt;=12")</f>
        <v>0</v>
      </c>
    </row>
    <row r="11" spans="1:3" x14ac:dyDescent="0.2">
      <c r="A11" s="5">
        <v>9090</v>
      </c>
      <c r="B11" s="1" t="s">
        <v>148</v>
      </c>
      <c r="C11" s="27">
        <f>SUMIFS(tblJournal[Betrag],tblJournal[Kennzahl],A11,tblJournal[Monat],"&gt;=1",tblJournal[Monat],"&lt;=12")</f>
        <v>0</v>
      </c>
    </row>
    <row r="12" spans="1:3" x14ac:dyDescent="0.2">
      <c r="A12" s="5"/>
      <c r="B12" s="7" t="s">
        <v>149</v>
      </c>
      <c r="C12" s="29">
        <f>SUM(C8:C11)</f>
        <v>12900</v>
      </c>
    </row>
    <row r="13" spans="1:3" x14ac:dyDescent="0.2">
      <c r="A13" s="5"/>
      <c r="C13" s="27"/>
    </row>
    <row r="14" spans="1:3" x14ac:dyDescent="0.2">
      <c r="A14" s="33" t="s">
        <v>150</v>
      </c>
      <c r="B14" s="10"/>
      <c r="C14" s="31"/>
    </row>
    <row r="15" spans="1:3" x14ac:dyDescent="0.2">
      <c r="A15" s="5">
        <v>9100</v>
      </c>
      <c r="B15" s="1" t="s">
        <v>151</v>
      </c>
      <c r="C15" s="27">
        <f>SUMIFS(tblJournal[Betrag],tblJournal[Kennzahl],A15,tblJournal[Monat],"&gt;=1",tblJournal[Monat],"&lt;=12")</f>
        <v>0</v>
      </c>
    </row>
    <row r="16" spans="1:3" x14ac:dyDescent="0.2">
      <c r="A16" s="5">
        <v>9110</v>
      </c>
      <c r="B16" s="1" t="s">
        <v>152</v>
      </c>
      <c r="C16" s="27">
        <f>SUMIFS(tblJournal[Betrag],tblJournal[Kennzahl],A16,tblJournal[Monat],"&gt;=1",tblJournal[Monat],"&lt;=12")</f>
        <v>0</v>
      </c>
    </row>
    <row r="17" spans="1:3" x14ac:dyDescent="0.2">
      <c r="A17" s="5">
        <v>9120</v>
      </c>
      <c r="B17" s="1" t="s">
        <v>153</v>
      </c>
      <c r="C17" s="27">
        <f>SUMIFS(tblJournal[Betrag],tblJournal[Kennzahl],A17,tblJournal[Monat],"&gt;=1",tblJournal[Monat],"&lt;=12")</f>
        <v>0</v>
      </c>
    </row>
    <row r="18" spans="1:3" x14ac:dyDescent="0.2">
      <c r="A18" s="5">
        <v>9130</v>
      </c>
      <c r="B18" s="1" t="s">
        <v>154</v>
      </c>
      <c r="C18" s="27">
        <f>SUMIFS(tblJournal[Betrag],tblJournal[Kennzahl],A18,tblJournal[Monat],"&gt;=1",tblJournal[Monat],"&lt;=12")+AfA_Summe</f>
        <v>649</v>
      </c>
    </row>
    <row r="19" spans="1:3" x14ac:dyDescent="0.2">
      <c r="A19" s="5">
        <v>9160</v>
      </c>
      <c r="B19" s="1" t="s">
        <v>155</v>
      </c>
      <c r="C19" s="27">
        <f>SUMIFS(tblJournal[Betrag],tblJournal[Kennzahl],A19,tblJournal[Monat],"&gt;=1",tblJournal[Monat],"&lt;=12")</f>
        <v>60</v>
      </c>
    </row>
    <row r="20" spans="1:3" x14ac:dyDescent="0.2">
      <c r="A20" s="5">
        <v>9165</v>
      </c>
      <c r="B20" s="1" t="s">
        <v>156</v>
      </c>
      <c r="C20" s="27">
        <f>SUMIFS(tblJournal[Betrag],tblJournal[Kennzahl],A20,tblJournal[Monat],"&gt;=1",tblJournal[Monat],"&lt;=12")</f>
        <v>0</v>
      </c>
    </row>
    <row r="21" spans="1:3" x14ac:dyDescent="0.2">
      <c r="A21" s="5">
        <v>9170</v>
      </c>
      <c r="B21" s="1" t="s">
        <v>157</v>
      </c>
      <c r="C21" s="27">
        <f>SUMIFS(tblJournal[Betrag],tblJournal[Kennzahl],A21,tblJournal[Monat],"&gt;=1",tblJournal[Monat],"&lt;=12")</f>
        <v>0</v>
      </c>
    </row>
    <row r="22" spans="1:3" x14ac:dyDescent="0.2">
      <c r="A22" s="5">
        <v>9180</v>
      </c>
      <c r="B22" s="1" t="s">
        <v>158</v>
      </c>
      <c r="C22" s="27">
        <f>SUMIFS(tblJournal[Betrag],tblJournal[Kennzahl],A22,tblJournal[Monat],"&gt;=1",tblJournal[Monat],"&lt;=12")</f>
        <v>0</v>
      </c>
    </row>
    <row r="23" spans="1:3" x14ac:dyDescent="0.2">
      <c r="A23" s="5">
        <v>9190</v>
      </c>
      <c r="B23" s="1" t="s">
        <v>159</v>
      </c>
      <c r="C23" s="27">
        <f>SUMIFS(tblJournal[Betrag],tblJournal[Kennzahl],A23,tblJournal[Monat],"&gt;=1",tblJournal[Monat],"&lt;=12")</f>
        <v>0</v>
      </c>
    </row>
    <row r="24" spans="1:3" x14ac:dyDescent="0.2">
      <c r="A24" s="5">
        <v>9200</v>
      </c>
      <c r="B24" s="1" t="s">
        <v>160</v>
      </c>
      <c r="C24" s="27">
        <f>SUMIFS(tblJournal[Betrag],tblJournal[Kennzahl],A24,tblJournal[Monat],"&gt;=1",tblJournal[Monat],"&lt;=12")</f>
        <v>84</v>
      </c>
    </row>
    <row r="25" spans="1:3" x14ac:dyDescent="0.2">
      <c r="A25" s="5">
        <v>9215</v>
      </c>
      <c r="B25" s="1" t="s">
        <v>161</v>
      </c>
      <c r="C25" s="27">
        <f>SUMIFS(tblJournal[Betrag],tblJournal[Kennzahl],A25,tblJournal[Monat],"&gt;=1",tblJournal[Monat],"&lt;=12")</f>
        <v>300</v>
      </c>
    </row>
    <row r="26" spans="1:3" x14ac:dyDescent="0.2">
      <c r="A26" s="5">
        <v>9216</v>
      </c>
      <c r="B26" s="1" t="s">
        <v>162</v>
      </c>
      <c r="C26" s="27">
        <f>SUMIFS(tblJournal[Betrag],tblJournal[Kennzahl],A26,tblJournal[Monat],"&gt;=1",tblJournal[Monat],"&lt;=12")</f>
        <v>0</v>
      </c>
    </row>
    <row r="27" spans="1:3" x14ac:dyDescent="0.2">
      <c r="A27" s="5">
        <v>9217</v>
      </c>
      <c r="B27" s="1" t="s">
        <v>163</v>
      </c>
      <c r="C27" s="27">
        <f>SUMIFS(tblJournal[Betrag],tblJournal[Kennzahl],A27,tblJournal[Monat],"&gt;=1",tblJournal[Monat],"&lt;=12")</f>
        <v>0</v>
      </c>
    </row>
    <row r="28" spans="1:3" x14ac:dyDescent="0.2">
      <c r="A28" s="5">
        <v>9220</v>
      </c>
      <c r="B28" s="1" t="s">
        <v>164</v>
      </c>
      <c r="C28" s="27">
        <f>SUMIFS(tblJournal[Betrag],tblJournal[Kennzahl],A28,tblJournal[Monat],"&gt;=1",tblJournal[Monat],"&lt;=12")</f>
        <v>0</v>
      </c>
    </row>
    <row r="29" spans="1:3" x14ac:dyDescent="0.2">
      <c r="A29" s="5">
        <v>9225</v>
      </c>
      <c r="B29" s="1" t="s">
        <v>165</v>
      </c>
      <c r="C29" s="27">
        <f>SUMIFS(tblJournal[Betrag],tblJournal[Kennzahl],A29,tblJournal[Monat],"&gt;=1",tblJournal[Monat],"&lt;=12")</f>
        <v>690</v>
      </c>
    </row>
    <row r="30" spans="1:3" x14ac:dyDescent="0.2">
      <c r="A30" s="5">
        <v>9230</v>
      </c>
      <c r="B30" s="1" t="s">
        <v>166</v>
      </c>
      <c r="C30" s="27">
        <f>SUMIFS(tblJournal[Betrag],tblJournal[Kennzahl],A30,tblJournal[Monat],"&gt;=1",tblJournal[Monat],"&lt;=12")</f>
        <v>205</v>
      </c>
    </row>
    <row r="31" spans="1:3" x14ac:dyDescent="0.2">
      <c r="A31" s="5"/>
      <c r="B31" s="7" t="s">
        <v>167</v>
      </c>
      <c r="C31" s="29">
        <f>SUM(C15:C30)</f>
        <v>1988</v>
      </c>
    </row>
    <row r="32" spans="1:3" x14ac:dyDescent="0.2">
      <c r="A32" s="5"/>
      <c r="C32" s="27"/>
    </row>
    <row r="33" spans="1:3" x14ac:dyDescent="0.2">
      <c r="A33" s="5"/>
      <c r="B33" s="30" t="s">
        <v>168</v>
      </c>
      <c r="C33" s="32">
        <f>C12-C31</f>
        <v>10912</v>
      </c>
    </row>
    <row r="34" spans="1:3" x14ac:dyDescent="0.2">
      <c r="A34" s="5"/>
      <c r="C34" s="27"/>
    </row>
    <row r="35" spans="1:3" x14ac:dyDescent="0.2">
      <c r="A35" s="5">
        <v>9221</v>
      </c>
      <c r="B35" s="1" t="s">
        <v>169</v>
      </c>
      <c r="C35" s="27">
        <f>ROUND(MAX(0,MIN(C33,GFB_Grenze))*GFB_Satz,2)</f>
        <v>1636.8</v>
      </c>
    </row>
    <row r="36" spans="1:3" x14ac:dyDescent="0.2">
      <c r="B36" s="7" t="s">
        <v>170</v>
      </c>
      <c r="C36" s="29">
        <f>C33-C35</f>
        <v>9275.2000000000007</v>
      </c>
    </row>
    <row r="38" spans="1:3" ht="51.95" customHeight="1" x14ac:dyDescent="0.2">
      <c r="A38" s="23" t="s">
        <v>171</v>
      </c>
      <c r="B38" s="9"/>
      <c r="C38" s="9"/>
    </row>
  </sheetData>
  <mergeCells count="1">
    <mergeCell ref="A38:C38"/>
  </mergeCells>
  <printOptions horizontalCentered="1"/>
  <pageMargins left="0.59055118110236215" right="0.59055118110236215" top="0.59055118110236215" bottom="0.70866141732283472" header="0.23622047244094485" footer="0.23622047244094485"/>
  <pageSetup paperSize="9" orientation="portrait" horizontalDpi="300" verticalDpi="300" r:id="rId1"/>
  <headerFooter>
    <oddFooter>&amp;Cfinanzgeier.at  ·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1706A-0926-4B92-B8B0-E9F06FD6D63E}">
  <sheetPr>
    <tabColor rgb="FFEB8402"/>
    <pageSetUpPr fitToPage="1"/>
  </sheetPr>
  <dimension ref="A1:J31"/>
  <sheetViews>
    <sheetView workbookViewId="0"/>
  </sheetViews>
  <sheetFormatPr baseColWidth="10" defaultRowHeight="12.75" x14ac:dyDescent="0.2"/>
  <cols>
    <col min="1" max="1" width="12.7109375" style="1" customWidth="1"/>
    <col min="2" max="7" width="14.7109375" style="1" customWidth="1"/>
    <col min="8" max="8" width="2.7109375" style="1" customWidth="1"/>
    <col min="9" max="9" width="30.7109375" style="1" customWidth="1"/>
    <col min="10" max="10" width="13.7109375" style="1" customWidth="1"/>
    <col min="11" max="16384" width="11.42578125" style="1"/>
  </cols>
  <sheetData>
    <row r="1" spans="1:10" ht="24" customHeight="1" x14ac:dyDescent="0.3">
      <c r="A1" s="2" t="s">
        <v>172</v>
      </c>
    </row>
    <row r="2" spans="1:10" x14ac:dyDescent="0.2">
      <c r="A2" s="3" t="s">
        <v>173</v>
      </c>
    </row>
    <row r="4" spans="1:10" x14ac:dyDescent="0.2">
      <c r="A4" s="34" t="s">
        <v>144</v>
      </c>
      <c r="B4" s="35"/>
      <c r="C4" s="34" t="s">
        <v>174</v>
      </c>
      <c r="D4" s="35"/>
      <c r="E4" s="34" t="s">
        <v>175</v>
      </c>
      <c r="F4" s="35"/>
      <c r="G4" s="34" t="s">
        <v>176</v>
      </c>
      <c r="H4" s="35"/>
      <c r="I4" s="35"/>
      <c r="J4" s="35"/>
    </row>
    <row r="5" spans="1:10" ht="24" customHeight="1" x14ac:dyDescent="0.3">
      <c r="A5" s="36">
        <f>'E1a-Übersicht'!C12</f>
        <v>12900</v>
      </c>
      <c r="B5" s="37"/>
      <c r="C5" s="36">
        <f>'E1a-Übersicht'!C31</f>
        <v>1988</v>
      </c>
      <c r="D5" s="37"/>
      <c r="E5" s="38">
        <f>E1a_Gewinn</f>
        <v>10912</v>
      </c>
      <c r="F5" s="37"/>
      <c r="G5" s="39">
        <f>IFERROR(SUMIFS(tblJournal[Betrag],tblJournal[Art],"Einnahme",tblJournal[Monat],"&gt;=1",tblJournal[Monat],"&lt;=12")/KU_Grenze,0)</f>
        <v>0.23454545454545456</v>
      </c>
      <c r="H5" s="37"/>
      <c r="I5" s="37"/>
      <c r="J5" s="37"/>
    </row>
    <row r="7" spans="1:10" ht="30" customHeight="1" x14ac:dyDescent="0.2">
      <c r="A7" s="4" t="s">
        <v>103</v>
      </c>
      <c r="B7" s="4" t="s">
        <v>177</v>
      </c>
      <c r="C7" s="4" t="s">
        <v>178</v>
      </c>
      <c r="D7" s="4" t="s">
        <v>175</v>
      </c>
      <c r="E7" s="4" t="s">
        <v>179</v>
      </c>
      <c r="F7" s="4" t="s">
        <v>180</v>
      </c>
      <c r="G7" s="4" t="s">
        <v>181</v>
      </c>
      <c r="I7" s="4" t="s">
        <v>200</v>
      </c>
      <c r="J7" s="4" t="s">
        <v>101</v>
      </c>
    </row>
    <row r="8" spans="1:10" x14ac:dyDescent="0.2">
      <c r="A8" s="1" t="s">
        <v>182</v>
      </c>
      <c r="B8" s="27">
        <f>SUMIFS(tblJournal[Betrag],tblJournal[Art],"Einnahme",tblJournal[Monat],1)</f>
        <v>2400</v>
      </c>
      <c r="C8" s="27">
        <f>SUMIFS(tblJournal[Betrag],tblJournal[Art],"Ausgabe",tblJournal[Monat],1)</f>
        <v>36</v>
      </c>
      <c r="D8" s="27">
        <f>B8-C8</f>
        <v>2364</v>
      </c>
      <c r="E8" s="27">
        <f>SUM($D$8:D8)</f>
        <v>2364</v>
      </c>
      <c r="F8" s="27">
        <f>SUM($B$8:B8)</f>
        <v>2400</v>
      </c>
      <c r="G8" s="27">
        <f>KU_Grenze</f>
        <v>55000</v>
      </c>
      <c r="I8" s="43" t="s">
        <v>15</v>
      </c>
      <c r="J8" s="44">
        <f>SUMIFS(tblJournal[Betrag],tblJournal[Kategorie],I8,tblJournal[Monat],"&gt;=1",tblJournal[Monat],"&lt;=12")</f>
        <v>0</v>
      </c>
    </row>
    <row r="9" spans="1:10" x14ac:dyDescent="0.2">
      <c r="A9" s="1" t="s">
        <v>183</v>
      </c>
      <c r="B9" s="27">
        <f>SUMIFS(tblJournal[Betrag],tblJournal[Art],"Einnahme",tblJournal[Monat],2)</f>
        <v>1200</v>
      </c>
      <c r="C9" s="27">
        <f>SUMIFS(tblJournal[Betrag],tblJournal[Art],"Ausgabe",tblJournal[Monat],2)</f>
        <v>690</v>
      </c>
      <c r="D9" s="27">
        <f>B9-C9</f>
        <v>510</v>
      </c>
      <c r="E9" s="27">
        <f>SUM($D$8:D9)</f>
        <v>2874</v>
      </c>
      <c r="F9" s="27">
        <f>SUM($B$8:B9)</f>
        <v>3600</v>
      </c>
      <c r="G9" s="27">
        <f>KU_Grenze</f>
        <v>55000</v>
      </c>
      <c r="I9" s="43" t="s">
        <v>18</v>
      </c>
      <c r="J9" s="44">
        <f>SUMIFS(tblJournal[Betrag],tblJournal[Kategorie],I9,tblJournal[Monat],"&gt;=1",tblJournal[Monat],"&lt;=12")</f>
        <v>0</v>
      </c>
    </row>
    <row r="10" spans="1:10" x14ac:dyDescent="0.2">
      <c r="A10" s="1" t="s">
        <v>184</v>
      </c>
      <c r="B10" s="27">
        <f>SUMIFS(tblJournal[Betrag],tblJournal[Art],"Einnahme",tblJournal[Monat],3)</f>
        <v>0</v>
      </c>
      <c r="C10" s="27">
        <f>SUMIFS(tblJournal[Betrag],tblJournal[Art],"Ausgabe",tblJournal[Monat],3)</f>
        <v>204</v>
      </c>
      <c r="D10" s="27">
        <f>B10-C10</f>
        <v>-204</v>
      </c>
      <c r="E10" s="27">
        <f>SUM($D$8:D10)</f>
        <v>2670</v>
      </c>
      <c r="F10" s="27">
        <f>SUM($B$8:B10)</f>
        <v>3600</v>
      </c>
      <c r="G10" s="27">
        <f>KU_Grenze</f>
        <v>55000</v>
      </c>
      <c r="I10" s="43" t="s">
        <v>20</v>
      </c>
      <c r="J10" s="44">
        <f>SUMIFS(tblJournal[Betrag],tblJournal[Kategorie],I10,tblJournal[Monat],"&gt;=1",tblJournal[Monat],"&lt;=12")</f>
        <v>0</v>
      </c>
    </row>
    <row r="11" spans="1:10" x14ac:dyDescent="0.2">
      <c r="A11" s="1" t="s">
        <v>185</v>
      </c>
      <c r="B11" s="27">
        <f>SUMIFS(tblJournal[Betrag],tblJournal[Art],"Einnahme",tblJournal[Monat],4)</f>
        <v>900</v>
      </c>
      <c r="C11" s="27">
        <f>SUMIFS(tblJournal[Betrag],tblJournal[Art],"Ausgabe",tblJournal[Monat],4)</f>
        <v>0</v>
      </c>
      <c r="D11" s="27">
        <f>B11-C11</f>
        <v>900</v>
      </c>
      <c r="E11" s="27">
        <f>SUM($D$8:D11)</f>
        <v>3570</v>
      </c>
      <c r="F11" s="27">
        <f>SUM($B$8:B11)</f>
        <v>4500</v>
      </c>
      <c r="G11" s="27">
        <f>KU_Grenze</f>
        <v>55000</v>
      </c>
      <c r="I11" s="43" t="s">
        <v>22</v>
      </c>
      <c r="J11" s="44">
        <f>SUMIFS(tblJournal[Betrag],tblJournal[Kategorie],I11,tblJournal[Monat],"&gt;=1",tblJournal[Monat],"&lt;=12")</f>
        <v>60</v>
      </c>
    </row>
    <row r="12" spans="1:10" x14ac:dyDescent="0.2">
      <c r="A12" s="1" t="s">
        <v>186</v>
      </c>
      <c r="B12" s="27">
        <f>SUMIFS(tblJournal[Betrag],tblJournal[Art],"Einnahme",tblJournal[Monat],5)</f>
        <v>0</v>
      </c>
      <c r="C12" s="27">
        <f>SUMIFS(tblJournal[Betrag],tblJournal[Art],"Ausgabe",tblJournal[Monat],5)</f>
        <v>60</v>
      </c>
      <c r="D12" s="27">
        <f>B12-C12</f>
        <v>-60</v>
      </c>
      <c r="E12" s="27">
        <f>SUM($D$8:D12)</f>
        <v>3510</v>
      </c>
      <c r="F12" s="27">
        <f>SUM($B$8:B12)</f>
        <v>4500</v>
      </c>
      <c r="G12" s="27">
        <f>KU_Grenze</f>
        <v>55000</v>
      </c>
      <c r="I12" s="43" t="s">
        <v>24</v>
      </c>
      <c r="J12" s="44">
        <f>SUMIFS(tblJournal[Betrag],tblJournal[Kategorie],I12,tblJournal[Monat],"&gt;=1",tblJournal[Monat],"&lt;=12")</f>
        <v>0</v>
      </c>
    </row>
    <row r="13" spans="1:10" x14ac:dyDescent="0.2">
      <c r="A13" s="1" t="s">
        <v>187</v>
      </c>
      <c r="B13" s="27">
        <f>SUMIFS(tblJournal[Betrag],tblJournal[Art],"Einnahme",tblJournal[Monat],6)</f>
        <v>3600</v>
      </c>
      <c r="C13" s="27">
        <f>SUMIFS(tblJournal[Betrag],tblJournal[Art],"Ausgabe",tblJournal[Monat],6)</f>
        <v>0</v>
      </c>
      <c r="D13" s="27">
        <f>B13-C13</f>
        <v>3600</v>
      </c>
      <c r="E13" s="27">
        <f>SUM($D$8:D13)</f>
        <v>7110</v>
      </c>
      <c r="F13" s="27">
        <f>SUM($B$8:B13)</f>
        <v>8100</v>
      </c>
      <c r="G13" s="27">
        <f>KU_Grenze</f>
        <v>55000</v>
      </c>
      <c r="I13" s="43" t="s">
        <v>26</v>
      </c>
      <c r="J13" s="44">
        <f>SUMIFS(tblJournal[Betrag],tblJournal[Kategorie],I13,tblJournal[Monat],"&gt;=1",tblJournal[Monat],"&lt;=12")</f>
        <v>0</v>
      </c>
    </row>
    <row r="14" spans="1:10" x14ac:dyDescent="0.2">
      <c r="A14" s="1" t="s">
        <v>188</v>
      </c>
      <c r="B14" s="27">
        <f>SUMIFS(tblJournal[Betrag],tblJournal[Art],"Einnahme",tblJournal[Monat],7)</f>
        <v>0</v>
      </c>
      <c r="C14" s="27">
        <f>SUMIFS(tblJournal[Betrag],tblJournal[Art],"Ausgabe",tblJournal[Monat],7)</f>
        <v>0</v>
      </c>
      <c r="D14" s="27">
        <f>B14-C14</f>
        <v>0</v>
      </c>
      <c r="E14" s="27">
        <f>SUM($D$8:D14)</f>
        <v>7110</v>
      </c>
      <c r="F14" s="27">
        <f>SUM($B$8:B14)</f>
        <v>8100</v>
      </c>
      <c r="G14" s="27">
        <f>KU_Grenze</f>
        <v>55000</v>
      </c>
      <c r="I14" s="43" t="s">
        <v>28</v>
      </c>
      <c r="J14" s="44">
        <f>SUMIFS(tblJournal[Betrag],tblJournal[Kategorie],I14,tblJournal[Monat],"&gt;=1",tblJournal[Monat],"&lt;=12")</f>
        <v>0</v>
      </c>
    </row>
    <row r="15" spans="1:10" x14ac:dyDescent="0.2">
      <c r="A15" s="1" t="s">
        <v>189</v>
      </c>
      <c r="B15" s="27">
        <f>SUMIFS(tblJournal[Betrag],tblJournal[Art],"Einnahme",tblJournal[Monat],8)</f>
        <v>0</v>
      </c>
      <c r="C15" s="27">
        <f>SUMIFS(tblJournal[Betrag],tblJournal[Art],"Ausgabe",tblJournal[Monat],8)</f>
        <v>0</v>
      </c>
      <c r="D15" s="27">
        <f>B15-C15</f>
        <v>0</v>
      </c>
      <c r="E15" s="27">
        <f>SUM($D$8:D15)</f>
        <v>7110</v>
      </c>
      <c r="F15" s="27">
        <f>SUM($B$8:B15)</f>
        <v>8100</v>
      </c>
      <c r="G15" s="27">
        <f>KU_Grenze</f>
        <v>55000</v>
      </c>
      <c r="I15" s="43" t="s">
        <v>30</v>
      </c>
      <c r="J15" s="44">
        <f>SUMIFS(tblJournal[Betrag],tblJournal[Kategorie],I15,tblJournal[Monat],"&gt;=1",tblJournal[Monat],"&lt;=12")</f>
        <v>0</v>
      </c>
    </row>
    <row r="16" spans="1:10" x14ac:dyDescent="0.2">
      <c r="A16" s="1" t="s">
        <v>190</v>
      </c>
      <c r="B16" s="27">
        <f>SUMIFS(tblJournal[Betrag],tblJournal[Art],"Einnahme",tblJournal[Monat],9)</f>
        <v>0</v>
      </c>
      <c r="C16" s="27">
        <f>SUMIFS(tblJournal[Betrag],tblJournal[Art],"Ausgabe",tblJournal[Monat],9)</f>
        <v>49</v>
      </c>
      <c r="D16" s="27">
        <f>B16-C16</f>
        <v>-49</v>
      </c>
      <c r="E16" s="27">
        <f>SUM($D$8:D16)</f>
        <v>7061</v>
      </c>
      <c r="F16" s="27">
        <f>SUM($B$8:B16)</f>
        <v>8100</v>
      </c>
      <c r="G16" s="27">
        <f>KU_Grenze</f>
        <v>55000</v>
      </c>
      <c r="I16" s="43" t="s">
        <v>32</v>
      </c>
      <c r="J16" s="44">
        <f>SUMIFS(tblJournal[Betrag],tblJournal[Kategorie],I16,tblJournal[Monat],"&gt;=1",tblJournal[Monat],"&lt;=12")</f>
        <v>84</v>
      </c>
    </row>
    <row r="17" spans="1:10" x14ac:dyDescent="0.2">
      <c r="A17" s="1" t="s">
        <v>191</v>
      </c>
      <c r="B17" s="27">
        <f>SUMIFS(tblJournal[Betrag],tblJournal[Art],"Einnahme",tblJournal[Monat],10)</f>
        <v>0</v>
      </c>
      <c r="C17" s="27">
        <f>SUMIFS(tblJournal[Betrag],tblJournal[Art],"Ausgabe",tblJournal[Monat],10)</f>
        <v>0</v>
      </c>
      <c r="D17" s="27">
        <f>B17-C17</f>
        <v>0</v>
      </c>
      <c r="E17" s="27">
        <f>SUM($D$8:D17)</f>
        <v>7061</v>
      </c>
      <c r="F17" s="27">
        <f>SUM($B$8:B17)</f>
        <v>8100</v>
      </c>
      <c r="G17" s="27">
        <f>KU_Grenze</f>
        <v>55000</v>
      </c>
      <c r="I17" s="43" t="s">
        <v>34</v>
      </c>
      <c r="J17" s="44">
        <f>SUMIFS(tblJournal[Betrag],tblJournal[Kategorie],I17,tblJournal[Monat],"&gt;=1",tblJournal[Monat],"&lt;=12")</f>
        <v>300</v>
      </c>
    </row>
    <row r="18" spans="1:10" x14ac:dyDescent="0.2">
      <c r="A18" s="1" t="s">
        <v>192</v>
      </c>
      <c r="B18" s="27">
        <f>SUMIFS(tblJournal[Betrag],tblJournal[Art],"Einnahme",tblJournal[Monat],11)</f>
        <v>4800</v>
      </c>
      <c r="C18" s="27">
        <f>SUMIFS(tblJournal[Betrag],tblJournal[Art],"Ausgabe",tblJournal[Monat],11)</f>
        <v>0</v>
      </c>
      <c r="D18" s="27">
        <f>B18-C18</f>
        <v>4800</v>
      </c>
      <c r="E18" s="27">
        <f>SUM($D$8:D18)</f>
        <v>11861</v>
      </c>
      <c r="F18" s="27">
        <f>SUM($B$8:B18)</f>
        <v>12900</v>
      </c>
      <c r="G18" s="27">
        <f>KU_Grenze</f>
        <v>55000</v>
      </c>
      <c r="I18" s="43" t="s">
        <v>36</v>
      </c>
      <c r="J18" s="44">
        <f>SUMIFS(tblJournal[Betrag],tblJournal[Kategorie],I18,tblJournal[Monat],"&gt;=1",tblJournal[Monat],"&lt;=12")</f>
        <v>0</v>
      </c>
    </row>
    <row r="19" spans="1:10" x14ac:dyDescent="0.2">
      <c r="A19" s="1" t="s">
        <v>193</v>
      </c>
      <c r="B19" s="27">
        <f>SUMIFS(tblJournal[Betrag],tblJournal[Art],"Einnahme",tblJournal[Monat],12)</f>
        <v>0</v>
      </c>
      <c r="C19" s="27">
        <f>SUMIFS(tblJournal[Betrag],tblJournal[Art],"Ausgabe",tblJournal[Monat],12)</f>
        <v>300</v>
      </c>
      <c r="D19" s="27">
        <f>B19-C19</f>
        <v>-300</v>
      </c>
      <c r="E19" s="27">
        <f>SUM($D$8:D19)</f>
        <v>11561</v>
      </c>
      <c r="F19" s="27">
        <f>SUM($B$8:B19)</f>
        <v>12900</v>
      </c>
      <c r="G19" s="27">
        <f>KU_Grenze</f>
        <v>55000</v>
      </c>
      <c r="I19" s="43" t="s">
        <v>38</v>
      </c>
      <c r="J19" s="44">
        <f>SUMIFS(tblJournal[Betrag],tblJournal[Kategorie],I19,tblJournal[Monat],"&gt;=1",tblJournal[Monat],"&lt;=12")</f>
        <v>0</v>
      </c>
    </row>
    <row r="20" spans="1:10" x14ac:dyDescent="0.2">
      <c r="A20" s="40" t="s">
        <v>194</v>
      </c>
      <c r="B20" s="41">
        <f>SUM(B8:B19)</f>
        <v>12900</v>
      </c>
      <c r="C20" s="41">
        <f>SUM(C8:C19)</f>
        <v>1339</v>
      </c>
      <c r="D20" s="41">
        <f>SUM(D8:D19)</f>
        <v>11561</v>
      </c>
      <c r="E20" s="42"/>
      <c r="F20" s="42"/>
      <c r="G20" s="42"/>
      <c r="I20" s="43" t="s">
        <v>40</v>
      </c>
      <c r="J20" s="44">
        <f>SUMIFS(tblJournal[Betrag],tblJournal[Kategorie],I20,tblJournal[Monat],"&gt;=1",tblJournal[Monat],"&lt;=12")</f>
        <v>0</v>
      </c>
    </row>
    <row r="21" spans="1:10" x14ac:dyDescent="0.2">
      <c r="I21" s="43" t="s">
        <v>42</v>
      </c>
      <c r="J21" s="44">
        <f>SUMIFS(tblJournal[Betrag],tblJournal[Kategorie],I21,tblJournal[Monat],"&gt;=1",tblJournal[Monat],"&lt;=12")</f>
        <v>690</v>
      </c>
    </row>
    <row r="22" spans="1:10" ht="30" customHeight="1" x14ac:dyDescent="0.2">
      <c r="A22" s="4" t="s">
        <v>195</v>
      </c>
      <c r="B22" s="4" t="s">
        <v>177</v>
      </c>
      <c r="C22" s="4" t="s">
        <v>178</v>
      </c>
      <c r="D22" s="4" t="s">
        <v>175</v>
      </c>
      <c r="E22" s="4" t="s">
        <v>179</v>
      </c>
      <c r="F22" s="4" t="s">
        <v>180</v>
      </c>
      <c r="G22" s="4" t="s">
        <v>181</v>
      </c>
      <c r="I22" s="43" t="s">
        <v>44</v>
      </c>
      <c r="J22" s="44">
        <f>SUMIFS(tblJournal[Betrag],tblJournal[Kategorie],I22,tblJournal[Monat],"&gt;=1",tblJournal[Monat],"&lt;=12")</f>
        <v>120</v>
      </c>
    </row>
    <row r="23" spans="1:10" x14ac:dyDescent="0.2">
      <c r="A23" s="1" t="s">
        <v>196</v>
      </c>
      <c r="B23" s="27">
        <f>SUM(B8:B10)</f>
        <v>3600</v>
      </c>
      <c r="C23" s="27">
        <f>SUM(C8:C10)</f>
        <v>930</v>
      </c>
      <c r="D23" s="27">
        <f>B23-C23</f>
        <v>2670</v>
      </c>
      <c r="E23" s="27">
        <f>E10</f>
        <v>2670</v>
      </c>
      <c r="F23" s="27">
        <f>F10</f>
        <v>3600</v>
      </c>
      <c r="G23" s="27">
        <f>KU_Grenze</f>
        <v>55000</v>
      </c>
      <c r="I23" s="43" t="s">
        <v>46</v>
      </c>
      <c r="J23" s="44">
        <f>SUMIFS(tblJournal[Betrag],tblJournal[Kategorie],I23,tblJournal[Monat],"&gt;=1",tblJournal[Monat],"&lt;=12")</f>
        <v>36</v>
      </c>
    </row>
    <row r="24" spans="1:10" x14ac:dyDescent="0.2">
      <c r="A24" s="1" t="s">
        <v>197</v>
      </c>
      <c r="B24" s="27">
        <f>SUM(B11:B13)</f>
        <v>4500</v>
      </c>
      <c r="C24" s="27">
        <f>SUM(C11:C13)</f>
        <v>60</v>
      </c>
      <c r="D24" s="27">
        <f>B24-C24</f>
        <v>4440</v>
      </c>
      <c r="E24" s="27">
        <f>E13</f>
        <v>7110</v>
      </c>
      <c r="F24" s="27">
        <f>F13</f>
        <v>8100</v>
      </c>
      <c r="G24" s="27">
        <f>KU_Grenze</f>
        <v>55000</v>
      </c>
      <c r="I24" s="43" t="s">
        <v>48</v>
      </c>
      <c r="J24" s="44">
        <f>SUMIFS(tblJournal[Betrag],tblJournal[Kategorie],I24,tblJournal[Monat],"&gt;=1",tblJournal[Monat],"&lt;=12")</f>
        <v>0</v>
      </c>
    </row>
    <row r="25" spans="1:10" x14ac:dyDescent="0.2">
      <c r="A25" s="1" t="s">
        <v>198</v>
      </c>
      <c r="B25" s="27">
        <f>SUM(B14:B16)</f>
        <v>0</v>
      </c>
      <c r="C25" s="27">
        <f>SUM(C14:C16)</f>
        <v>49</v>
      </c>
      <c r="D25" s="27">
        <f>B25-C25</f>
        <v>-49</v>
      </c>
      <c r="E25" s="27">
        <f>E16</f>
        <v>7061</v>
      </c>
      <c r="F25" s="27">
        <f>F16</f>
        <v>8100</v>
      </c>
      <c r="G25" s="27">
        <f>KU_Grenze</f>
        <v>55000</v>
      </c>
      <c r="I25" s="43" t="s">
        <v>50</v>
      </c>
      <c r="J25" s="44">
        <f>SUMIFS(tblJournal[Betrag],tblJournal[Kategorie],I25,tblJournal[Monat],"&gt;=1",tblJournal[Monat],"&lt;=12")</f>
        <v>49</v>
      </c>
    </row>
    <row r="26" spans="1:10" x14ac:dyDescent="0.2">
      <c r="A26" s="1" t="s">
        <v>199</v>
      </c>
      <c r="B26" s="27">
        <f>SUM(B17:B19)</f>
        <v>4800</v>
      </c>
      <c r="C26" s="27">
        <f>SUM(C17:C19)</f>
        <v>300</v>
      </c>
      <c r="D26" s="27">
        <f>B26-C26</f>
        <v>4500</v>
      </c>
      <c r="E26" s="27">
        <f>E19</f>
        <v>11561</v>
      </c>
      <c r="F26" s="27">
        <f>F19</f>
        <v>12900</v>
      </c>
      <c r="G26" s="27">
        <f>KU_Grenze</f>
        <v>55000</v>
      </c>
      <c r="I26" s="43" t="s">
        <v>52</v>
      </c>
      <c r="J26" s="44">
        <f>SUMIFS(tblJournal[Betrag],tblJournal[Kategorie],I26,tblJournal[Monat],"&gt;=1",tblJournal[Monat],"&lt;=12")</f>
        <v>0</v>
      </c>
    </row>
    <row r="27" spans="1:10" x14ac:dyDescent="0.2">
      <c r="A27" s="40" t="s">
        <v>194</v>
      </c>
      <c r="B27" s="41">
        <f>SUM(B23:B26)</f>
        <v>12900</v>
      </c>
      <c r="C27" s="41">
        <f>SUM(C23:C26)</f>
        <v>1339</v>
      </c>
      <c r="D27" s="41">
        <f>SUM(D23:D26)</f>
        <v>11561</v>
      </c>
      <c r="E27" s="42"/>
      <c r="F27" s="42"/>
      <c r="G27" s="42"/>
      <c r="I27" s="43" t="s">
        <v>54</v>
      </c>
      <c r="J27" s="44">
        <f>SUMIFS(tblJournal[Betrag],tblJournal[Kategorie],I27,tblJournal[Monat],"&gt;=1",tblJournal[Monat],"&lt;=12")</f>
        <v>0</v>
      </c>
    </row>
    <row r="28" spans="1:10" x14ac:dyDescent="0.2">
      <c r="I28" s="43" t="s">
        <v>56</v>
      </c>
      <c r="J28" s="44">
        <f>SUMIFS(tblJournal[Betrag],tblJournal[Kategorie],I28,tblJournal[Monat],"&gt;=1",tblJournal[Monat],"&lt;=12")</f>
        <v>0</v>
      </c>
    </row>
    <row r="29" spans="1:10" x14ac:dyDescent="0.2">
      <c r="I29" s="43" t="s">
        <v>58</v>
      </c>
      <c r="J29" s="44">
        <f>SUMIFS(tblJournal[Betrag],tblJournal[Kategorie],I29,tblJournal[Monat],"&gt;=1",tblJournal[Monat],"&lt;=12")</f>
        <v>0</v>
      </c>
    </row>
    <row r="30" spans="1:10" x14ac:dyDescent="0.2">
      <c r="I30" s="43" t="s">
        <v>60</v>
      </c>
      <c r="J30" s="44">
        <f>SUMIFS(tblJournal[Betrag],tblJournal[Kategorie],I30,tblJournal[Monat],"&gt;=1",tblJournal[Monat],"&lt;=12")</f>
        <v>0</v>
      </c>
    </row>
    <row r="31" spans="1:10" x14ac:dyDescent="0.2">
      <c r="I31" s="43" t="s">
        <v>201</v>
      </c>
      <c r="J31" s="44">
        <f>AfA_Summe</f>
        <v>649</v>
      </c>
    </row>
  </sheetData>
  <mergeCells count="8">
    <mergeCell ref="A5:B5"/>
    <mergeCell ref="C5:D5"/>
    <mergeCell ref="E5:F5"/>
    <mergeCell ref="G5:J5"/>
    <mergeCell ref="A4:B4"/>
    <mergeCell ref="C4:D4"/>
    <mergeCell ref="E4:F4"/>
    <mergeCell ref="G4:J4"/>
  </mergeCells>
  <printOptions horizontalCentered="1"/>
  <pageMargins left="0.59055118110236215" right="0.59055118110236215" top="0.59055118110236215" bottom="0.70866141732283472" header="0.23622047244094485" footer="0.23622047244094485"/>
  <pageSetup paperSize="9" scale="92" fitToHeight="0" orientation="landscape" horizontalDpi="300" verticalDpi="300" r:id="rId1"/>
  <headerFooter>
    <oddFooter>&amp;Cfinanzgeier.at  ·  Seite &amp;P von &amp;N</oddFooter>
  </headerFooter>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1939-7A80-4E06-93B3-3E37EE56BA4A}">
  <sheetPr>
    <tabColor rgb="FFEB8402"/>
    <pageSetUpPr fitToPage="1"/>
  </sheetPr>
  <dimension ref="A1:D34"/>
  <sheetViews>
    <sheetView workbookViewId="0"/>
  </sheetViews>
  <sheetFormatPr baseColWidth="10" defaultRowHeight="12.75" x14ac:dyDescent="0.2"/>
  <cols>
    <col min="1" max="1" width="36.7109375" style="1" customWidth="1"/>
    <col min="2" max="2" width="11.7109375" style="1" customWidth="1"/>
    <col min="3" max="3" width="13.7109375" style="5" customWidth="1"/>
    <col min="4" max="4" width="72.7109375" style="1" customWidth="1"/>
    <col min="5" max="16384" width="11.42578125" style="1"/>
  </cols>
  <sheetData>
    <row r="1" spans="1:4" ht="24" customHeight="1" x14ac:dyDescent="0.3">
      <c r="A1" s="2" t="s">
        <v>0</v>
      </c>
    </row>
    <row r="2" spans="1:4" x14ac:dyDescent="0.2">
      <c r="A2" s="3" t="s">
        <v>1</v>
      </c>
    </row>
    <row r="4" spans="1:4" x14ac:dyDescent="0.2">
      <c r="A4" s="4" t="s">
        <v>2</v>
      </c>
      <c r="B4" s="4" t="s">
        <v>3</v>
      </c>
      <c r="C4" s="6" t="s">
        <v>4</v>
      </c>
      <c r="D4" s="4" t="s">
        <v>5</v>
      </c>
    </row>
    <row r="5" spans="1:4" x14ac:dyDescent="0.2">
      <c r="A5" s="1" t="s">
        <v>6</v>
      </c>
      <c r="B5" s="1" t="s">
        <v>7</v>
      </c>
      <c r="C5" s="5">
        <v>9040</v>
      </c>
      <c r="D5" s="1" t="s">
        <v>8</v>
      </c>
    </row>
    <row r="6" spans="1:4" x14ac:dyDescent="0.2">
      <c r="A6" s="1" t="s">
        <v>9</v>
      </c>
      <c r="B6" s="1" t="s">
        <v>7</v>
      </c>
      <c r="C6" s="5">
        <v>9050</v>
      </c>
      <c r="D6" s="1" t="s">
        <v>10</v>
      </c>
    </row>
    <row r="7" spans="1:4" x14ac:dyDescent="0.2">
      <c r="A7" s="1" t="s">
        <v>11</v>
      </c>
      <c r="B7" s="1" t="s">
        <v>7</v>
      </c>
      <c r="C7" s="5">
        <v>9060</v>
      </c>
      <c r="D7" s="1" t="s">
        <v>12</v>
      </c>
    </row>
    <row r="8" spans="1:4" x14ac:dyDescent="0.2">
      <c r="A8" s="1" t="s">
        <v>13</v>
      </c>
      <c r="B8" s="1" t="s">
        <v>7</v>
      </c>
      <c r="C8" s="5">
        <v>9090</v>
      </c>
      <c r="D8" s="1" t="s">
        <v>14</v>
      </c>
    </row>
    <row r="9" spans="1:4" x14ac:dyDescent="0.2">
      <c r="A9" s="1" t="s">
        <v>15</v>
      </c>
      <c r="B9" s="1" t="s">
        <v>16</v>
      </c>
      <c r="C9" s="5">
        <v>9100</v>
      </c>
      <c r="D9" s="1" t="s">
        <v>17</v>
      </c>
    </row>
    <row r="10" spans="1:4" x14ac:dyDescent="0.2">
      <c r="A10" s="1" t="s">
        <v>18</v>
      </c>
      <c r="B10" s="1" t="s">
        <v>16</v>
      </c>
      <c r="C10" s="5">
        <v>9110</v>
      </c>
      <c r="D10" s="1" t="s">
        <v>19</v>
      </c>
    </row>
    <row r="11" spans="1:4" x14ac:dyDescent="0.2">
      <c r="A11" s="1" t="s">
        <v>20</v>
      </c>
      <c r="B11" s="1" t="s">
        <v>16</v>
      </c>
      <c r="C11" s="5">
        <v>9120</v>
      </c>
      <c r="D11" s="1" t="s">
        <v>21</v>
      </c>
    </row>
    <row r="12" spans="1:4" x14ac:dyDescent="0.2">
      <c r="A12" s="1" t="s">
        <v>22</v>
      </c>
      <c r="B12" s="1" t="s">
        <v>16</v>
      </c>
      <c r="C12" s="5">
        <v>9160</v>
      </c>
      <c r="D12" s="1" t="s">
        <v>23</v>
      </c>
    </row>
    <row r="13" spans="1:4" x14ac:dyDescent="0.2">
      <c r="A13" s="1" t="s">
        <v>24</v>
      </c>
      <c r="B13" s="1" t="s">
        <v>16</v>
      </c>
      <c r="C13" s="5">
        <v>9165</v>
      </c>
      <c r="D13" s="1" t="s">
        <v>25</v>
      </c>
    </row>
    <row r="14" spans="1:4" x14ac:dyDescent="0.2">
      <c r="A14" s="1" t="s">
        <v>26</v>
      </c>
      <c r="B14" s="1" t="s">
        <v>16</v>
      </c>
      <c r="C14" s="5">
        <v>9170</v>
      </c>
      <c r="D14" s="1" t="s">
        <v>27</v>
      </c>
    </row>
    <row r="15" spans="1:4" x14ac:dyDescent="0.2">
      <c r="A15" s="1" t="s">
        <v>28</v>
      </c>
      <c r="B15" s="1" t="s">
        <v>16</v>
      </c>
      <c r="C15" s="5">
        <v>9180</v>
      </c>
      <c r="D15" s="1" t="s">
        <v>29</v>
      </c>
    </row>
    <row r="16" spans="1:4" x14ac:dyDescent="0.2">
      <c r="A16" s="1" t="s">
        <v>30</v>
      </c>
      <c r="B16" s="1" t="s">
        <v>16</v>
      </c>
      <c r="C16" s="5">
        <v>9190</v>
      </c>
      <c r="D16" s="1" t="s">
        <v>31</v>
      </c>
    </row>
    <row r="17" spans="1:4" x14ac:dyDescent="0.2">
      <c r="A17" s="1" t="s">
        <v>32</v>
      </c>
      <c r="B17" s="1" t="s">
        <v>16</v>
      </c>
      <c r="C17" s="5">
        <v>9200</v>
      </c>
      <c r="D17" s="1" t="s">
        <v>33</v>
      </c>
    </row>
    <row r="18" spans="1:4" x14ac:dyDescent="0.2">
      <c r="A18" s="1" t="s">
        <v>34</v>
      </c>
      <c r="B18" s="1" t="s">
        <v>16</v>
      </c>
      <c r="C18" s="5">
        <v>9215</v>
      </c>
      <c r="D18" s="1" t="s">
        <v>35</v>
      </c>
    </row>
    <row r="19" spans="1:4" x14ac:dyDescent="0.2">
      <c r="A19" s="1" t="s">
        <v>36</v>
      </c>
      <c r="B19" s="1" t="s">
        <v>16</v>
      </c>
      <c r="C19" s="5">
        <v>9217</v>
      </c>
      <c r="D19" s="1" t="s">
        <v>37</v>
      </c>
    </row>
    <row r="20" spans="1:4" x14ac:dyDescent="0.2">
      <c r="A20" s="1" t="s">
        <v>38</v>
      </c>
      <c r="B20" s="1" t="s">
        <v>16</v>
      </c>
      <c r="C20" s="5">
        <v>9216</v>
      </c>
      <c r="D20" s="1" t="s">
        <v>39</v>
      </c>
    </row>
    <row r="21" spans="1:4" x14ac:dyDescent="0.2">
      <c r="A21" s="1" t="s">
        <v>40</v>
      </c>
      <c r="B21" s="1" t="s">
        <v>16</v>
      </c>
      <c r="C21" s="5">
        <v>9220</v>
      </c>
      <c r="D21" s="1" t="s">
        <v>41</v>
      </c>
    </row>
    <row r="22" spans="1:4" x14ac:dyDescent="0.2">
      <c r="A22" s="1" t="s">
        <v>42</v>
      </c>
      <c r="B22" s="1" t="s">
        <v>16</v>
      </c>
      <c r="C22" s="5">
        <v>9225</v>
      </c>
      <c r="D22" s="1" t="s">
        <v>43</v>
      </c>
    </row>
    <row r="23" spans="1:4" x14ac:dyDescent="0.2">
      <c r="A23" s="1" t="s">
        <v>44</v>
      </c>
      <c r="B23" s="1" t="s">
        <v>16</v>
      </c>
      <c r="C23" s="5">
        <v>9230</v>
      </c>
      <c r="D23" s="1" t="s">
        <v>45</v>
      </c>
    </row>
    <row r="24" spans="1:4" x14ac:dyDescent="0.2">
      <c r="A24" s="1" t="s">
        <v>46</v>
      </c>
      <c r="B24" s="1" t="s">
        <v>16</v>
      </c>
      <c r="C24" s="5">
        <v>9230</v>
      </c>
      <c r="D24" s="1" t="s">
        <v>47</v>
      </c>
    </row>
    <row r="25" spans="1:4" x14ac:dyDescent="0.2">
      <c r="A25" s="1" t="s">
        <v>48</v>
      </c>
      <c r="B25" s="1" t="s">
        <v>16</v>
      </c>
      <c r="C25" s="5">
        <v>9230</v>
      </c>
      <c r="D25" s="1" t="s">
        <v>49</v>
      </c>
    </row>
    <row r="26" spans="1:4" x14ac:dyDescent="0.2">
      <c r="A26" s="1" t="s">
        <v>50</v>
      </c>
      <c r="B26" s="1" t="s">
        <v>16</v>
      </c>
      <c r="C26" s="5">
        <v>9230</v>
      </c>
      <c r="D26" s="1" t="s">
        <v>51</v>
      </c>
    </row>
    <row r="27" spans="1:4" x14ac:dyDescent="0.2">
      <c r="A27" s="1" t="s">
        <v>52</v>
      </c>
      <c r="B27" s="1" t="s">
        <v>16</v>
      </c>
      <c r="C27" s="5">
        <v>9230</v>
      </c>
      <c r="D27" s="1" t="s">
        <v>53</v>
      </c>
    </row>
    <row r="28" spans="1:4" x14ac:dyDescent="0.2">
      <c r="A28" s="1" t="s">
        <v>54</v>
      </c>
      <c r="B28" s="1" t="s">
        <v>16</v>
      </c>
      <c r="C28" s="5">
        <v>9230</v>
      </c>
      <c r="D28" s="1" t="s">
        <v>55</v>
      </c>
    </row>
    <row r="29" spans="1:4" x14ac:dyDescent="0.2">
      <c r="A29" s="1" t="s">
        <v>56</v>
      </c>
      <c r="B29" s="1" t="s">
        <v>16</v>
      </c>
      <c r="C29" s="5">
        <v>9230</v>
      </c>
      <c r="D29" s="1" t="s">
        <v>57</v>
      </c>
    </row>
    <row r="30" spans="1:4" x14ac:dyDescent="0.2">
      <c r="A30" s="1" t="s">
        <v>58</v>
      </c>
      <c r="B30" s="1" t="s">
        <v>16</v>
      </c>
      <c r="C30" s="5">
        <v>9230</v>
      </c>
      <c r="D30" s="1" t="s">
        <v>59</v>
      </c>
    </row>
    <row r="31" spans="1:4" x14ac:dyDescent="0.2">
      <c r="A31" s="1" t="s">
        <v>60</v>
      </c>
      <c r="B31" s="1" t="s">
        <v>16</v>
      </c>
      <c r="C31" s="5">
        <v>9230</v>
      </c>
      <c r="D31" s="1" t="s">
        <v>61</v>
      </c>
    </row>
    <row r="33" spans="1:1" x14ac:dyDescent="0.2">
      <c r="A33" s="3" t="s">
        <v>62</v>
      </c>
    </row>
    <row r="34" spans="1:1" x14ac:dyDescent="0.2">
      <c r="A34" s="3" t="s">
        <v>63</v>
      </c>
    </row>
  </sheetData>
  <printOptions horizontalCentered="1"/>
  <pageMargins left="0.59055118110236215" right="0.59055118110236215" top="0.59055118110236215" bottom="0.70866141732283472" header="0.23622047244094485" footer="0.23622047244094485"/>
  <pageSetup paperSize="9" fitToHeight="0" orientation="landscape" horizontalDpi="300" verticalDpi="300" r:id="rId1"/>
  <headerFooter>
    <oddFooter>&amp;Cfinanzgeier.at  ·  Seite &amp;P von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17</vt:i4>
      </vt:variant>
    </vt:vector>
  </HeadingPairs>
  <TitlesOfParts>
    <vt:vector size="23" baseType="lpstr">
      <vt:lpstr>Anleitung</vt:lpstr>
      <vt:lpstr>Journal</vt:lpstr>
      <vt:lpstr>Anlagen</vt:lpstr>
      <vt:lpstr>E1a-Übersicht</vt:lpstr>
      <vt:lpstr>Auswertung</vt:lpstr>
      <vt:lpstr>Kategorien</vt:lpstr>
      <vt:lpstr>AfA_Summe</vt:lpstr>
      <vt:lpstr>Anlagen!Druckbereich</vt:lpstr>
      <vt:lpstr>Anleitung!Druckbereich</vt:lpstr>
      <vt:lpstr>Auswertung!Druckbereich</vt:lpstr>
      <vt:lpstr>'E1a-Übersicht'!Druckbereich</vt:lpstr>
      <vt:lpstr>Kategorien!Druckbereich</vt:lpstr>
      <vt:lpstr>Journal!Drucktitel</vt:lpstr>
      <vt:lpstr>Kategorien!Drucktitel</vt:lpstr>
      <vt:lpstr>E1a_Gewinn</vt:lpstr>
      <vt:lpstr>GFB_Grenze</vt:lpstr>
      <vt:lpstr>GFB_Satz</vt:lpstr>
      <vt:lpstr>GWG_Grenze</vt:lpstr>
      <vt:lpstr>KatArt</vt:lpstr>
      <vt:lpstr>KatKZ</vt:lpstr>
      <vt:lpstr>KatName</vt:lpstr>
      <vt:lpstr>KU_Grenze</vt:lpstr>
      <vt:lpstr>Steuerjahr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Wolfgang Marzy</dc:creator>
  <cp:lastModifiedBy>Wolfgang Marzy</cp:lastModifiedBy>
  <dcterms:created xsi:type="dcterms:W3CDTF">2026-10-13T12:54:53Z</dcterms:created>
  <dcterms:modified xsi:type="dcterms:W3CDTF">2026-10-13T12:55:08Z</dcterms:modified>
</cp:coreProperties>
</file>